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3- Precios CRUDOS - PRODUCTOS\0- REGULADOS Y NO REGULADOS\12 20 Diciembre\Publicación\Publicacion 16 Diciembre\"/>
    </mc:Choice>
  </mc:AlternateContent>
  <workbookProtection workbookPassword="C712" lockStructure="1"/>
  <bookViews>
    <workbookView xWindow="0" yWindow="0" windowWidth="19200" windowHeight="7455" tabRatio="828" firstSheet="9" activeTab="11"/>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5" l="1"/>
  <c r="B25" i="3" l="1"/>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3" i="35"/>
  <c r="M22" i="35"/>
  <c r="M21" i="35"/>
  <c r="M20" i="35"/>
  <c r="M19" i="35"/>
  <c r="M32" i="35" s="1"/>
  <c r="M17" i="35"/>
  <c r="M16" i="35"/>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15" i="35" l="1"/>
  <c r="V16" i="35" s="1"/>
  <c r="V17" i="35" s="1"/>
  <c r="V18" i="35" s="1"/>
  <c r="V19" i="35" s="1"/>
  <c r="V20" i="35" s="1"/>
  <c r="V21" i="35" s="1"/>
  <c r="V22" i="35" s="1"/>
  <c r="V23" i="35" s="1"/>
  <c r="V10" i="35"/>
  <c r="V11" i="35"/>
  <c r="U11" i="35"/>
  <c r="U12" i="35" s="1"/>
  <c r="U13" i="35" s="1"/>
  <c r="U14" i="35" s="1"/>
  <c r="U15" i="35" s="1"/>
  <c r="U16" i="35" s="1"/>
  <c r="U17" i="35" s="1"/>
  <c r="U18" i="35" s="1"/>
  <c r="U19" i="35" s="1"/>
  <c r="U20" i="35" s="1"/>
  <c r="U21" i="35" s="1"/>
  <c r="U22" i="35" s="1"/>
  <c r="U10" i="35"/>
  <c r="V25" i="35"/>
  <c r="O11" i="35"/>
  <c r="O12" i="35" s="1"/>
  <c r="O13" i="35" s="1"/>
  <c r="O14" i="35" s="1"/>
  <c r="O15" i="35" s="1"/>
  <c r="O16" i="35" s="1"/>
  <c r="O17" i="35" s="1"/>
  <c r="O18" i="35" s="1"/>
  <c r="O19" i="35" s="1"/>
  <c r="O20" i="35" s="1"/>
  <c r="O21" i="35" s="1"/>
  <c r="O22" i="35" s="1"/>
  <c r="O24" i="35" s="1"/>
  <c r="O25" i="35" s="1"/>
  <c r="O26" i="35" s="1"/>
  <c r="O27" i="35" s="1"/>
  <c r="V24" i="35" l="1"/>
  <c r="V28" i="35"/>
  <c r="V26" i="35"/>
  <c r="V27" i="35" s="1"/>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E24" i="34"/>
  <c r="F24" i="34" s="1"/>
  <c r="G24" i="34" s="1"/>
  <c r="H24" i="34" s="1"/>
  <c r="C24" i="34"/>
  <c r="G23" i="34"/>
  <c r="C23" i="34"/>
  <c r="G22" i="34"/>
  <c r="D22" i="34"/>
  <c r="E22" i="34" s="1"/>
  <c r="F22" i="34" s="1"/>
  <c r="F20" i="34"/>
  <c r="H20" i="34" s="1"/>
  <c r="E20" i="34"/>
  <c r="C20" i="34"/>
  <c r="G19" i="34"/>
  <c r="C19" i="34"/>
  <c r="G18" i="34"/>
  <c r="F18" i="34"/>
  <c r="E18" i="34"/>
  <c r="D18" i="34"/>
  <c r="C16" i="34"/>
  <c r="G16" i="34" s="1"/>
  <c r="E15" i="34"/>
  <c r="D15" i="34"/>
  <c r="C15" i="34"/>
  <c r="H15" i="34" s="1"/>
  <c r="G14" i="34"/>
  <c r="H14" i="34" s="1"/>
  <c r="C14" i="34"/>
  <c r="F14" i="34" s="1"/>
  <c r="H13" i="34"/>
  <c r="F13" i="34"/>
  <c r="C13" i="34"/>
  <c r="G12" i="34"/>
  <c r="C12" i="34"/>
  <c r="C11" i="34"/>
  <c r="F11" i="34" s="1"/>
  <c r="H11" i="34" s="1"/>
  <c r="H10" i="34"/>
  <c r="G10" i="34"/>
  <c r="C10" i="34"/>
  <c r="H9" i="34"/>
  <c r="G9" i="34"/>
  <c r="C9" i="34"/>
  <c r="G8" i="34"/>
  <c r="H8" i="34" l="1"/>
  <c r="V37" i="35"/>
  <c r="V38" i="35" s="1"/>
  <c r="V39" i="35" s="1"/>
  <c r="V40" i="35" s="1"/>
  <c r="V41" i="35" s="1"/>
  <c r="V42" i="35" s="1"/>
  <c r="V43" i="35" s="1"/>
  <c r="V44" i="35" s="1"/>
  <c r="V45" i="35" s="1"/>
  <c r="V46" i="35" s="1"/>
  <c r="V29" i="35"/>
  <c r="V30" i="35" s="1"/>
  <c r="V31" i="35" s="1"/>
  <c r="V32" i="35" s="1"/>
  <c r="V33" i="35" s="1"/>
  <c r="V34" i="35" s="1"/>
  <c r="V35" i="35" s="1"/>
  <c r="V36" i="35" s="1"/>
  <c r="D16" i="34"/>
  <c r="D11" i="34"/>
  <c r="G11" i="34" s="1"/>
  <c r="G17" i="34" s="1"/>
  <c r="G21" i="34" s="1"/>
  <c r="E16" i="34"/>
  <c r="E11" i="34"/>
  <c r="F16" i="34"/>
  <c r="D14" i="34"/>
  <c r="F15" i="34"/>
  <c r="H16" i="34"/>
  <c r="G20" i="34"/>
  <c r="E14" i="34"/>
  <c r="G15" i="34"/>
  <c r="B1" i="10"/>
  <c r="H17" i="34" l="1"/>
  <c r="H21" i="34" s="1"/>
  <c r="U2" i="30"/>
  <c r="Y41" i="30" l="1"/>
  <c r="C15" i="20" l="1"/>
  <c r="C14" i="15"/>
  <c r="C39" i="12"/>
  <c r="C14" i="12"/>
  <c r="AA29" i="2"/>
  <c r="L29" i="2"/>
  <c r="B29" i="10"/>
  <c r="B29" i="11" s="1"/>
  <c r="B53" i="12" s="1"/>
  <c r="B29" i="15" s="1"/>
  <c r="B30" i="17" s="1"/>
  <c r="B54" i="19" s="1"/>
  <c r="B29" i="20" s="1"/>
  <c r="B29" i="21" s="1"/>
  <c r="AA41" i="2"/>
  <c r="AA40" i="2"/>
  <c r="AK39" i="2"/>
  <c r="AO42" i="2"/>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C13" i="19"/>
  <c r="F11" i="28" l="1"/>
  <c r="E11" i="15"/>
  <c r="D11" i="15"/>
  <c r="G11" i="15"/>
  <c r="F11" i="15"/>
  <c r="D11" i="28"/>
  <c r="E11" i="28"/>
  <c r="G11" i="28"/>
  <c r="C14" i="28"/>
  <c r="G13" i="28"/>
  <c r="C13" i="28"/>
  <c r="C13" i="23"/>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I6" i="15"/>
  <c r="K5" i="12"/>
  <c r="K29" i="12" s="1"/>
  <c r="F5" i="15"/>
  <c r="F29" i="12"/>
  <c r="E36" i="19"/>
  <c r="H6" i="17" l="1"/>
  <c r="F6" i="19"/>
  <c r="I5" i="15"/>
  <c r="F5" i="17"/>
  <c r="E33" i="19"/>
  <c r="H6" i="19" l="1"/>
  <c r="H31" i="19" s="1"/>
  <c r="F6" i="20"/>
  <c r="F32" i="19"/>
  <c r="F5" i="19"/>
  <c r="H5" i="17"/>
  <c r="M13" i="29"/>
  <c r="M12" i="29"/>
  <c r="H8" i="12"/>
  <c r="F6" i="21" l="1"/>
  <c r="F6" i="34" s="1"/>
  <c r="H6" i="34" s="1"/>
  <c r="I6" i="20"/>
  <c r="H5" i="19"/>
  <c r="F5" i="20"/>
  <c r="F30" i="19"/>
  <c r="H30" i="19" s="1"/>
  <c r="H6" i="21" l="1"/>
  <c r="F5" i="21"/>
  <c r="F5" i="34" s="1"/>
  <c r="H5" i="34" s="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U12" i="30" l="1"/>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U25" i="30" l="1"/>
  <c r="U26" i="30" s="1"/>
  <c r="U27" i="30" s="1"/>
  <c r="D37" i="28"/>
  <c r="E37" i="28"/>
  <c r="F29" i="28"/>
  <c r="H29" i="28" s="1"/>
  <c r="H5" i="28"/>
  <c r="C39" i="28"/>
  <c r="G43" i="28"/>
  <c r="D14" i="28"/>
  <c r="D38" i="28" s="1"/>
  <c r="H14" i="28"/>
  <c r="H38" i="28" s="1"/>
  <c r="H13" i="28"/>
  <c r="H37" i="28" s="1"/>
  <c r="G15" i="28"/>
  <c r="G39" i="28" s="1"/>
  <c r="D15" i="28"/>
  <c r="D39" i="28" s="1"/>
  <c r="H15" i="28"/>
  <c r="G19" i="28"/>
  <c r="E15" i="28"/>
  <c r="E39" i="28" s="1"/>
  <c r="G16" i="28" l="1"/>
  <c r="G20" i="28" s="1"/>
  <c r="U28" i="30"/>
  <c r="U29" i="30" s="1"/>
  <c r="U30" i="30" s="1"/>
  <c r="U31" i="30" s="1"/>
  <c r="U32" i="30" s="1"/>
  <c r="U33" i="30" s="1"/>
  <c r="U34" i="30" s="1"/>
  <c r="U35" i="30" s="1"/>
  <c r="U36" i="30" s="1"/>
  <c r="H16" i="28"/>
  <c r="H20" i="28" s="1"/>
  <c r="H39" i="28"/>
  <c r="H40" i="28" s="1"/>
  <c r="H44" i="28" s="1"/>
  <c r="G40" i="28"/>
  <c r="G44" i="28" s="1"/>
  <c r="U37" i="30" l="1"/>
  <c r="U38" i="30" s="1"/>
  <c r="U39" i="30" s="1"/>
  <c r="U40" i="30" s="1"/>
  <c r="U41" i="30" s="1"/>
  <c r="U42" i="30" s="1"/>
  <c r="U43" i="30" s="1"/>
  <c r="U44" i="30" s="1"/>
  <c r="U45" i="30" s="1"/>
  <c r="U46" i="30" s="1"/>
  <c r="E57" i="20"/>
  <c r="D57" i="20"/>
  <c r="F57" i="20" s="1"/>
  <c r="F56" i="20"/>
  <c r="D56" i="20"/>
  <c r="E56" i="20" s="1"/>
  <c r="H14" i="20" l="1"/>
  <c r="I14" i="20"/>
  <c r="D14" i="20"/>
  <c r="E14" i="20" s="1"/>
  <c r="F14" i="20" s="1"/>
  <c r="G14" i="20" s="1"/>
  <c r="C35" i="12"/>
  <c r="C14" i="23"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F17" i="34" s="1"/>
  <c r="F21" i="34"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C17" i="34" s="1"/>
  <c r="C21" i="34" s="1"/>
  <c r="H33" i="3"/>
  <c r="F8" i="20" s="1"/>
  <c r="F17" i="20" s="1"/>
  <c r="F21" i="20" s="1"/>
  <c r="P42" i="30"/>
  <c r="Y42" i="30" s="1"/>
  <c r="P22" i="29"/>
  <c r="F8" i="19"/>
  <c r="F17" i="19" s="1"/>
  <c r="F21" i="19" s="1"/>
  <c r="H21" i="19"/>
  <c r="P28" i="30"/>
  <c r="Y28" i="30" s="1"/>
  <c r="G25" i="3"/>
  <c r="P20" i="30"/>
  <c r="Y20" i="30" s="1"/>
  <c r="P19" i="29"/>
  <c r="P22" i="30"/>
  <c r="Y22" i="30" s="1"/>
  <c r="P21" i="29"/>
  <c r="P19" i="30"/>
  <c r="Y19" i="30" s="1"/>
  <c r="P18" i="29"/>
  <c r="P18" i="30"/>
  <c r="Y18" i="30" s="1"/>
  <c r="P17" i="29"/>
  <c r="D27" i="3"/>
  <c r="F27" i="3" s="1"/>
  <c r="D25" i="3"/>
  <c r="F8" i="9"/>
  <c r="D36" i="3"/>
  <c r="D35" i="3"/>
  <c r="P12" i="30" s="1"/>
  <c r="Y12" i="30" s="1"/>
  <c r="D34" i="3"/>
  <c r="D37" i="3"/>
  <c r="F8" i="28"/>
  <c r="F16" i="28" s="1"/>
  <c r="F20" i="28" s="1"/>
  <c r="D31" i="3"/>
  <c r="P8" i="35" s="1"/>
  <c r="Y8" i="35" s="1"/>
  <c r="D38" i="3"/>
  <c r="P44" i="35" s="1"/>
  <c r="Y44" i="35" s="1"/>
  <c r="F32" i="28"/>
  <c r="F40" i="28" s="1"/>
  <c r="F44" i="28" s="1"/>
  <c r="P24" i="30"/>
  <c r="Y24" i="30" s="1"/>
  <c r="P23" i="30"/>
  <c r="Y23" i="30" s="1"/>
  <c r="C8" i="10"/>
  <c r="C17" i="10" s="1"/>
  <c r="C21" i="10" s="1"/>
  <c r="P10" i="29"/>
  <c r="D30" i="3"/>
  <c r="P4" i="29"/>
  <c r="P11" i="29"/>
  <c r="P35" i="30"/>
  <c r="Y35" i="30" s="1"/>
  <c r="P5" i="29"/>
  <c r="P8" i="29"/>
  <c r="P32" i="30"/>
  <c r="Y32" i="30" s="1"/>
  <c r="P7" i="29"/>
  <c r="P31" i="30"/>
  <c r="Y31" i="30" s="1"/>
  <c r="P6" i="29"/>
  <c r="P9" i="29"/>
  <c r="P33" i="30"/>
  <c r="Y33" i="30" s="1"/>
  <c r="D28" i="3"/>
  <c r="P5" i="35" s="1"/>
  <c r="Y5" i="35" s="1"/>
  <c r="P2" i="29"/>
  <c r="P3" i="29"/>
  <c r="G26" i="3"/>
  <c r="D8" i="10" s="1"/>
  <c r="D17" i="10" s="1"/>
  <c r="D21" i="10" s="1"/>
  <c r="K49" i="1"/>
  <c r="D32" i="3"/>
  <c r="P15" i="29" s="1"/>
  <c r="K47" i="1"/>
  <c r="D33" i="3"/>
  <c r="P9" i="35" s="1"/>
  <c r="F32" i="12"/>
  <c r="F41" i="12" s="1"/>
  <c r="F45" i="12" s="1"/>
  <c r="D29" i="3"/>
  <c r="P6" i="35" s="1"/>
  <c r="Y6" i="35" s="1"/>
  <c r="F8" i="10"/>
  <c r="F17" i="10" s="1"/>
  <c r="F21" i="10" s="1"/>
  <c r="D26" i="3"/>
  <c r="F26" i="3" s="1"/>
  <c r="G37" i="3"/>
  <c r="D8" i="28" s="1"/>
  <c r="D16" i="28" s="1"/>
  <c r="D20" i="28" s="1"/>
  <c r="C8" i="28"/>
  <c r="C16" i="28" s="1"/>
  <c r="C20" i="28" s="1"/>
  <c r="G38" i="3"/>
  <c r="D32" i="28" s="1"/>
  <c r="D40" i="28" s="1"/>
  <c r="D44" i="28" s="1"/>
  <c r="F8" i="5"/>
  <c r="F9" i="5" s="1"/>
  <c r="C32" i="28"/>
  <c r="C40" i="28" s="1"/>
  <c r="C44" i="28" s="1"/>
  <c r="G35" i="3"/>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C8" i="12"/>
  <c r="C16" i="12" s="1"/>
  <c r="C20" i="12" s="1"/>
  <c r="G28" i="3"/>
  <c r="D8" i="12" s="1"/>
  <c r="F8" i="21"/>
  <c r="F17" i="21" s="1"/>
  <c r="F21" i="21" s="1"/>
  <c r="C32" i="12"/>
  <c r="C41" i="12" s="1"/>
  <c r="C45" i="12" s="1"/>
  <c r="G29" i="3"/>
  <c r="D32" i="12" s="1"/>
  <c r="D41" i="12" s="1"/>
  <c r="D45" i="12" s="1"/>
  <c r="G17" i="10"/>
  <c r="G21" i="10" s="1"/>
  <c r="H15" i="10"/>
  <c r="H17" i="10" s="1"/>
  <c r="H21" i="10" s="1"/>
  <c r="P2" i="30" l="1"/>
  <c r="Y2" i="30" s="1"/>
  <c r="F25" i="3"/>
  <c r="P11" i="30"/>
  <c r="Y11" i="30" s="1"/>
  <c r="P11" i="35"/>
  <c r="Y11" i="35" s="1"/>
  <c r="P13" i="30"/>
  <c r="Y13" i="30" s="1"/>
  <c r="P13" i="35"/>
  <c r="Y13" i="35" s="1"/>
  <c r="Y9" i="35"/>
  <c r="P10" i="35"/>
  <c r="Y10" i="35" s="1"/>
  <c r="P4" i="30"/>
  <c r="Y4" i="30" s="1"/>
  <c r="P4" i="35"/>
  <c r="Y4" i="35" s="1"/>
  <c r="F30" i="3"/>
  <c r="E8" i="15" s="1"/>
  <c r="E16" i="15" s="1"/>
  <c r="E20" i="15" s="1"/>
  <c r="P7" i="35"/>
  <c r="Y7" i="35" s="1"/>
  <c r="P3" i="30"/>
  <c r="Y3" i="30" s="1"/>
  <c r="P3" i="35"/>
  <c r="Y3" i="35" s="1"/>
  <c r="P14" i="30"/>
  <c r="Y14" i="30" s="1"/>
  <c r="P14" i="35"/>
  <c r="Y14" i="35" s="1"/>
  <c r="D8" i="34"/>
  <c r="D17" i="34" s="1"/>
  <c r="D21" i="34" s="1"/>
  <c r="D8" i="9"/>
  <c r="F38" i="3"/>
  <c r="E32" i="28" s="1"/>
  <c r="E40" i="28" s="1"/>
  <c r="E44" i="28" s="1"/>
  <c r="P44" i="30"/>
  <c r="Y44" i="30" s="1"/>
  <c r="F36" i="3"/>
  <c r="E8" i="23" s="1"/>
  <c r="E16" i="23" s="1"/>
  <c r="E20" i="23" s="1"/>
  <c r="F34" i="3"/>
  <c r="E8" i="21" s="1"/>
  <c r="E17" i="21" s="1"/>
  <c r="E21" i="21" s="1"/>
  <c r="E8" i="11"/>
  <c r="F35" i="3"/>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33" i="3"/>
  <c r="F29" i="3"/>
  <c r="F32" i="3"/>
  <c r="E8" i="19" s="1"/>
  <c r="E17" i="19" s="1"/>
  <c r="E21" i="19" s="1"/>
  <c r="F16" i="23"/>
  <c r="F20" i="23" s="1"/>
  <c r="H16" i="23"/>
  <c r="H20" i="23" s="1"/>
  <c r="C16" i="23"/>
  <c r="C20" i="23" s="1"/>
  <c r="D16" i="23"/>
  <c r="D20" i="23" s="1"/>
  <c r="G16" i="23"/>
  <c r="G20" i="23" s="1"/>
  <c r="C17" i="21"/>
  <c r="C21" i="21" s="1"/>
  <c r="F8" i="17"/>
  <c r="F18" i="17" s="1"/>
  <c r="F22" i="17" s="1"/>
  <c r="K16" i="12"/>
  <c r="K20" i="12" s="1"/>
  <c r="D16" i="12"/>
  <c r="D20" i="12" s="1"/>
  <c r="D8" i="17"/>
  <c r="D18" i="17" s="1"/>
  <c r="D22" i="17" s="1"/>
  <c r="E24" i="9"/>
  <c r="F24" i="9" s="1"/>
  <c r="F23" i="9"/>
  <c r="E20" i="9"/>
  <c r="F20" i="9" s="1"/>
  <c r="C20" i="9"/>
  <c r="E19" i="9"/>
  <c r="F19" i="9" s="1"/>
  <c r="E18" i="9"/>
  <c r="C18" i="9" s="1"/>
  <c r="E17" i="9"/>
  <c r="E8" i="34" l="1"/>
  <c r="E17" i="34" s="1"/>
  <c r="E21" i="34" s="1"/>
  <c r="E8" i="9"/>
  <c r="E16" i="9" s="1"/>
  <c r="E21" i="9" s="1"/>
  <c r="P10" i="30"/>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<sst xmlns="http://schemas.openxmlformats.org/spreadsheetml/2006/main" count="3622" uniqueCount="472">
  <si>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</si>
  <si>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</si>
  <si>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</si>
  <si>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</si>
  <si>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</si>
  <si>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</si>
  <si>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</si>
  <si>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</si>
  <si>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</si>
  <si>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</si>
  <si>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</si>
  <si>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</si>
  <si>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</si>
  <si>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</si>
  <si>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</si>
  <si>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</si>
  <si>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</si>
  <si>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</si>
  <si>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</si>
  <si>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</si>
  <si>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</si>
  <si>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</si>
  <si>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</si>
  <si>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</si>
  <si>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</si>
  <si>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</si>
  <si>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</si>
  <si>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</si>
  <si>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</si>
  <si>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</si>
  <si>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</si>
  <si>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</si>
  <si>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</si>
  <si>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</si>
  <si>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</si>
  <si>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</si>
  <si>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</si>
  <si>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</si>
  <si>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</si>
  <si>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</si>
  <si>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</si>
  <si>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</si>
  <si>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</si>
  <si>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</si>
  <si>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</si>
  <si>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</si>
  <si>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</si>
  <si>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</si>
  <si>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</si>
  <si>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</si>
  <si>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</si>
  <si>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</si>
  <si>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</si>
  <si>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</si>
  <si>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</si>
  <si>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</si>
  <si>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</si>
  <si>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</si>
  <si>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</si>
  <si>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</si>
  <si>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</si>
  <si>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</si>
  <si>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</si>
  <si>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</si>
  <si>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</si>
  <si>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</si>
  <si>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</si>
  <si>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</si>
  <si>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</si>
  <si>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</si>
  <si>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</si>
  <si>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</si>
  <si>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</si>
  <si>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</si>
  <si>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</si>
  <si>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</si>
  <si>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</si>
  <si>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</si>
  <si>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</si>
  <si>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</si>
  <si>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</si>
  <si>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</si>
  <si>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</si>
  <si>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</si>
  <si>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</si>
  <si>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</si>
  <si>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</si>
  <si>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</si>
  <si>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</si>
  <si>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</si>
  <si>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</si>
  <si>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</si>
  <si>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</si>
  <si>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</si>
  <si>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</si>
  <si>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</si>
  <si>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</si>
  <si>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</si>
  <si>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</si>
  <si>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</si>
  <si>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</si>
  <si>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</si>
  <si>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</si>
  <si>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</si>
  <si>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</si>
  <si>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</si>
  <si>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</si>
  <si>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</si>
  <si>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</si>
  <si>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</si>
  <si>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</si>
  <si>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</si>
  <si>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</si>
  <si>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</si>
  <si>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</si>
  <si>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</si>
  <si>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</si>
  <si>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</si>
  <si>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</si>
  <si>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</si>
  <si>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</si>
  <si>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</si>
  <si>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</si>
  <si>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</si>
  <si>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</si>
  <si>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</si>
  <si>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</si>
  <si>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</si>
  <si>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</si>
  <si>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</si>
  <si>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</si>
  <si>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</si>
  <si>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</si>
  <si>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</si>
  <si>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</si>
  <si>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</si>
  <si>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</si>
  <si>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</si>
  <si>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</si>
  <si>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</si>
  <si>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</si>
  <si>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</si>
  <si>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</si>
  <si>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</si>
  <si>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</si>
  <si>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</si>
  <si>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</si>
  <si>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</si>
  <si>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</si>
  <si>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</si>
  <si>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</si>
  <si>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</si>
  <si>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</si>
  <si>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</si>
  <si>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</si>
  <si>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</si>
  <si>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</si>
  <si>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</si>
  <si>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</si>
  <si>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</si>
  <si>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</si>
  <si>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</si>
  <si>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</si>
  <si>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</si>
  <si>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</si>
  <si>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</si>
  <si>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</si>
  <si>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</si>
  <si>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</si>
  <si>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</si>
  <si>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</si>
  <si>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</si>
  <si>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</si>
  <si>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</si>
  <si>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</si>
  <si>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</si>
  <si>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</si>
  <si>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</si>
  <si>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</si>
  <si>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</si>
  <si>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</si>
  <si>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</si>
  <si>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</si>
  <si>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</si>
  <si>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</si>
  <si>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</si>
  <si>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</si>
  <si>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</si>
  <si>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</si>
  <si>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</si>
  <si>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</si>
  <si>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</si>
  <si>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</si>
  <si>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</si>
  <si>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</si>
  <si>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</si>
  <si>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</si>
  <si>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</si>
  <si>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</si>
  <si>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</si>
  <si>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</si>
  <si>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</si>
  <si>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</si>
  <si>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</si>
  <si>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</si>
  <si>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</si>
  <si>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</si>
  <si>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</si>
  <si>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</si>
  <si>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</si>
  <si>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</si>
  <si>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</si>
  <si>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</si>
  <si>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</si>
  <si>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</si>
  <si>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</si>
  <si>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</si>
  <si>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</si>
  <si>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</si>
  <si>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</si>
  <si>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</si>
  <si>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</si>
  <si>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</si>
  <si>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</si>
  <si>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</si>
  <si>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</si>
  <si>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</si>
  <si>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</si>
  <si>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</si>
  <si>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</si>
  <si>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</si>
  <si>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</si>
  <si>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</si>
  <si>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</si>
  <si>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</si>
  <si>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</si>
  <si>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</si>
  <si>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</si>
  <si>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</si>
  <si>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</si>
  <si>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</si>
  <si>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</si>
  <si>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</si>
  <si>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</si>
  <si>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</si>
  <si>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</si>
  <si>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</si>
  <si>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</si>
  <si>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</si>
  <si>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</si>
  <si>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</si>
  <si>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</si>
  <si>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</si>
  <si>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</si>
  <si>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</si>
  <si>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</si>
  <si>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</si>
  <si>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</si>
  <si>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</si>
  <si>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</si>
  <si>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</si>
  <si>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</si>
  <si>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</si>
  <si>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</si>
  <si>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</si>
  <si>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</si>
  <si>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</si>
  <si>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</si>
  <si>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</si>
  <si>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</si>
  <si>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</si>
  <si>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</si>
  <si>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</si>
  <si>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</si>
  <si>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</si>
  <si>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</si>
  <si>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</si>
  <si>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</si>
  <si>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</si>
  <si>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</si>
  <si>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</si>
  <si>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</si>
  <si>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</si>
  <si>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</si>
  <si>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</si>
  <si>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</si>
  <si>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</si>
  <si>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</si>
  <si>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</si>
  <si>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</si>
  <si>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</si>
  <si>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</si>
  <si>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</si>
  <si>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</si>
  <si>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</si>
  <si>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</si>
  <si>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</si>
  <si>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</si>
  <si>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</si>
  <si>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</si>
  <si>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</si>
  <si>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</si>
  <si>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</si>
  <si>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</si>
  <si>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</si>
  <si>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</si>
  <si>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</si>
  <si>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</si>
  <si>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</si>
  <si>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</si>
  <si>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</si>
  <si>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</si>
  <si>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</si>
  <si>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</si>
  <si>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</si>
  <si>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</si>
  <si>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</si>
  <si>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</si>
  <si>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</si>
  <si>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</si>
  <si>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</si>
  <si>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</si>
  <si>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</si>
  <si>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</si>
  <si>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</si>
  <si>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</si>
  <si>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</si>
  <si>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</si>
  <si>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</si>
  <si>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</si>
  <si>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</si>
  <si>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</si>
  <si>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</si>
  <si>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</si>
  <si>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</si>
  <si>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</si>
  <si>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</si>
  <si>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</si>
  <si>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</si>
  <si>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</si>
  <si>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</si>
  <si>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</si>
  <si>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</si>
  <si>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</si>
  <si>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</si>
  <si>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</si>
  <si>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</si>
  <si>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</si>
  <si>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</si>
  <si>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</si>
  <si>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</si>
  <si>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</si>
  <si>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</si>
  <si>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</si>
  <si>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</si>
  <si>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</si>
  <si>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</si>
  <si>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</si>
  <si>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</si>
  <si>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</si>
  <si>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</si>
  <si>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</si>
  <si>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</si>
  <si>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</si>
  <si>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</si>
  <si>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</si>
  <si>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</si>
  <si>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</si>
  <si>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</si>
  <si>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</si>
  <si>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</si>
  <si>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</si>
  <si>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</si>
  <si>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</si>
  <si>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</si>
  <si>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</si>
  <si>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</si>
  <si>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</si>
  <si>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</si>
  <si>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</si>
  <si>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</si>
  <si>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</si>
  <si>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</si>
  <si>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</si>
  <si>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</si>
  <si>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</si>
  <si>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</si>
  <si>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</si>
  <si>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</si>
  <si>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</si>
  <si>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</si>
  <si>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</si>
  <si>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</si>
  <si>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</si>
  <si>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</si>
  <si>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</si>
  <si>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</si>
  <si>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</si>
  <si>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</si>
  <si>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</si>
  <si>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</si>
  <si>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</si>
  <si>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</si>
  <si>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</si>
  <si>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</si>
  <si>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</si>
  <si>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</si>
  <si>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</si>
  <si>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</si>
  <si>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</si>
  <si>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</si>
  <si>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</si>
  <si>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</si>
  <si>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</si>
  <si>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</si>
  <si>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</si>
  <si>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</si>
  <si>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</si>
  <si>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</si>
  <si>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</si>
  <si>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</si>
  <si>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</si>
  <si>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</si>
  <si>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</si>
  <si>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</si>
  <si>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</si>
  <si>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</si>
  <si>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</si>
  <si>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</si>
  <si>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</si>
  <si>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</si>
  <si>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</si>
  <si>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</si>
  <si>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</si>
  <si>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</si>
  <si>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</si>
  <si>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</si>
  <si>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</si>
  <si>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</si>
  <si>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</si>
  <si>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</si>
  <si>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</si>
  <si>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</si>
  <si>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</si>
  <si>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</si>
  <si>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</si>
  <si>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</si>
  <si>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</si>
  <si>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</si>
  <si>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</si>
  <si>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</si>
  <si>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</si>
  <si>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</si>
  <si>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Vigencia hasta e 17 de agosto</t>
  </si>
  <si>
    <t>a partir del 18 de agosto aplica proporcionalidad Res 40188</t>
  </si>
  <si>
    <t>OJO!!!!</t>
  </si>
  <si>
    <t>Vigencia: 15 de agosto de 2020; 00:00 horas</t>
  </si>
  <si>
    <t>ACTUALIZAR</t>
  </si>
  <si>
    <t>NO SE PUBLICA</t>
  </si>
  <si>
    <t>CAMBIA CON EL IP FOSÍL</t>
  </si>
  <si>
    <t>IP GASOLINA</t>
  </si>
  <si>
    <t>BIODIESEL B2B EXTRA</t>
  </si>
  <si>
    <t>GASOLINA MOTOR REGULAR IAD81</t>
  </si>
  <si>
    <t>GASOLINA MOTOR REGULAR</t>
  </si>
  <si>
    <t>16.12.2020</t>
  </si>
  <si>
    <t>ESTRUCTURAS DE PRECIOS PARA GASOLINA MOTOR CORRIENTE OXIGENADA VIGENTES A PARTIR DE 10 DE NOVIEMBRE 2020</t>
  </si>
  <si>
    <t>ESTRUCTURAS DE PRECIOS PARA LA MEZCLA DE BIOCOMBUSTIBLE PARA USO EN MOTORES DIESEL CON EL ACPM VIGENTES A PARTIR DE 10 DE NOVIEMBRE 2020</t>
  </si>
  <si>
    <t>Vigencia: 16 de Diciembre de 2020; 00:00 horas</t>
  </si>
  <si>
    <t>OJO</t>
  </si>
  <si>
    <t>16 DE DICIEMBRE 2020</t>
  </si>
  <si>
    <t>precios cargados en SAP hasta el 20 de Enero 2021</t>
  </si>
  <si>
    <t>20.01.2021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</si>
</sst>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s>
  <fonts count="82"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s>
  <fills count="30">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20">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9" fillId="7" borderId="23" xfId="4" applyFont="1" applyFill="1" applyBorder="1" applyAlignment="1" applyProtection="1">
      <alignment horizontal="center" vertical="center" wrapText="1"/>
      <protection hidden="1"/>
    </xf>
    <xf numFmtId="43" fontId="18" fillId="7" borderId="23" xfId="4" applyFont="1" applyFill="1" applyBorder="1" applyAlignment="1" applyProtection="1">
      <alignment horizontal="right"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43" fontId="0" fillId="29" borderId="1" xfId="0" applyNumberFormat="1" applyFill="1" applyBorder="1"/>
    <xf numFmtId="172" fontId="54"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752475</xdr:colOff>
          <xdr:row>0</xdr:row>
          <xdr:rowOff>76200</xdr:rowOff>
        </xdr:from>
        <xdr:to>
          <xdr:col>6</xdr:col>
          <xdr:colOff>200025</xdr:colOff>
          <xdr:row>3</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17858</xdr:colOff>
      <xdr:row>31</xdr:row>
      <xdr:rowOff>4309</xdr:rowOff>
    </xdr:from>
    <xdr:to>
      <xdr:col>11</xdr:col>
      <xdr:colOff>680153</xdr:colOff>
      <xdr:row>32</xdr:row>
      <xdr:rowOff>145326</xdr:rowOff>
    </xdr:to>
    <xdr:pic>
      <xdr:nvPicPr>
        <xdr:cNvPr id="5" name="Imagen 4"/>
        <xdr:cNvPicPr>
          <a:picLocks noChangeAspect="1"/>
        </xdr:cNvPicPr>
      </xdr:nvPicPr>
      <xdr:blipFill>
        <a:blip xmlns:r="http://schemas.openxmlformats.org/officeDocument/2006/relationships" r:embed="rId4"/>
        <a:stretch>
          <a:fillRect/>
        </a:stretch>
      </xdr:blipFill>
      <xdr:spPr>
        <a:xfrm>
          <a:off x="9489280" y="6558700"/>
          <a:ext cx="1424295" cy="331517"/>
        </a:xfrm>
        <a:prstGeom prst="rect">
          <a:avLst/>
        </a:prstGeom>
      </xdr:spPr>
    </xdr:pic>
    <xdr:clientData/>
  </xdr:twoCellAnchor>
  <xdr:twoCellAnchor editAs="oneCell">
    <xdr:from>
      <xdr:col>10</xdr:col>
      <xdr:colOff>148828</xdr:colOff>
      <xdr:row>33</xdr:row>
      <xdr:rowOff>47624</xdr:rowOff>
    </xdr:from>
    <xdr:to>
      <xdr:col>11</xdr:col>
      <xdr:colOff>148934</xdr:colOff>
      <xdr:row>39</xdr:row>
      <xdr:rowOff>185919</xdr:rowOff>
    </xdr:to>
    <xdr:pic>
      <xdr:nvPicPr>
        <xdr:cNvPr id="7" name="Imagen 6"/>
        <xdr:cNvPicPr>
          <a:picLocks noChangeAspect="1"/>
        </xdr:cNvPicPr>
      </xdr:nvPicPr>
      <xdr:blipFill>
        <a:blip xmlns:r="http://schemas.openxmlformats.org/officeDocument/2006/relationships" r:embed="rId5"/>
        <a:stretch>
          <a:fillRect/>
        </a:stretch>
      </xdr:blipFill>
      <xdr:spPr>
        <a:xfrm>
          <a:off x="9620250" y="6983015"/>
          <a:ext cx="762106" cy="1305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89053</xdr:colOff>
      <xdr:row>57</xdr:row>
      <xdr:rowOff>140235</xdr:rowOff>
    </xdr:to>
    <xdr:pic>
      <xdr:nvPicPr>
        <xdr:cNvPr id="3" name="Imagen 2"/>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364638</xdr:colOff>
      <xdr:row>59</xdr:row>
      <xdr:rowOff>153661</xdr:rowOff>
    </xdr:to>
    <xdr:pic>
      <xdr:nvPicPr>
        <xdr:cNvPr id="4" name="Imagen 3"/>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547794</xdr:colOff>
      <xdr:row>67</xdr:row>
      <xdr:rowOff>29154</xdr:rowOff>
    </xdr:to>
    <xdr:pic>
      <xdr:nvPicPr>
        <xdr:cNvPr id="5" name="Imagen 4"/>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95">
        <v>2013</v>
      </c>
      <c r="C11" s="495"/>
      <c r="D11" s="495"/>
      <c r="E11" s="495">
        <v>2014</v>
      </c>
      <c r="F11" s="495"/>
      <c r="G11" s="495"/>
      <c r="H11" s="495">
        <v>2015</v>
      </c>
      <c r="I11" s="495"/>
      <c r="J11" s="495"/>
      <c r="K11" s="495">
        <v>2016</v>
      </c>
      <c r="L11" s="495"/>
      <c r="M11" s="495"/>
      <c r="N11" s="495">
        <v>2017</v>
      </c>
      <c r="O11" s="495"/>
      <c r="P11" s="495"/>
      <c r="Q11" s="495">
        <v>2018</v>
      </c>
      <c r="R11" s="495"/>
      <c r="S11" s="495"/>
      <c r="T11" s="495">
        <v>2019</v>
      </c>
      <c r="U11" s="495"/>
      <c r="V11" s="495"/>
      <c r="W11" s="495">
        <v>2020</v>
      </c>
      <c r="X11" s="495"/>
      <c r="Y11" s="495"/>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37" t="s">
        <v>81</v>
      </c>
      <c r="X12" s="437" t="s">
        <v>82</v>
      </c>
      <c r="Y12" s="437"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97" t="s">
        <v>80</v>
      </c>
      <c r="B25" s="495">
        <v>2013</v>
      </c>
      <c r="C25" s="495"/>
      <c r="D25" s="495"/>
      <c r="E25" s="495"/>
      <c r="F25" s="495"/>
      <c r="G25" s="495">
        <v>2014</v>
      </c>
      <c r="H25" s="495"/>
      <c r="I25" s="495"/>
      <c r="J25" s="495"/>
      <c r="K25" s="495"/>
      <c r="L25" s="502">
        <v>2015</v>
      </c>
      <c r="M25" s="503"/>
      <c r="N25" s="503"/>
      <c r="O25" s="503"/>
      <c r="P25" s="504"/>
      <c r="Q25" s="502">
        <v>2016</v>
      </c>
      <c r="R25" s="503"/>
      <c r="S25" s="503"/>
      <c r="T25" s="503"/>
      <c r="U25" s="504"/>
      <c r="V25" s="502">
        <v>2017</v>
      </c>
      <c r="W25" s="503"/>
      <c r="X25" s="503"/>
      <c r="Y25" s="503"/>
      <c r="Z25" s="504"/>
      <c r="AA25" s="502">
        <v>2018</v>
      </c>
      <c r="AB25" s="503"/>
      <c r="AC25" s="503"/>
      <c r="AD25" s="503"/>
      <c r="AE25" s="504"/>
      <c r="AF25" s="502">
        <v>2019</v>
      </c>
      <c r="AG25" s="503"/>
      <c r="AH25" s="503"/>
      <c r="AI25" s="503"/>
      <c r="AJ25" s="504"/>
      <c r="AK25" s="502">
        <v>2020</v>
      </c>
      <c r="AL25" s="503"/>
      <c r="AM25" s="503"/>
      <c r="AN25" s="503"/>
      <c r="AO25" s="504"/>
    </row>
    <row r="26" spans="1:41" ht="30" customHeight="1" x14ac:dyDescent="0.25">
      <c r="A26" s="497"/>
      <c r="B26" s="497" t="s">
        <v>81</v>
      </c>
      <c r="C26" s="497"/>
      <c r="D26" s="497" t="s">
        <v>82</v>
      </c>
      <c r="E26" s="497"/>
      <c r="F26" s="497" t="s">
        <v>83</v>
      </c>
      <c r="G26" s="497" t="s">
        <v>81</v>
      </c>
      <c r="H26" s="497"/>
      <c r="I26" s="497" t="s">
        <v>82</v>
      </c>
      <c r="J26" s="497"/>
      <c r="K26" s="497" t="s">
        <v>83</v>
      </c>
      <c r="L26" s="498" t="s">
        <v>81</v>
      </c>
      <c r="M26" s="499"/>
      <c r="N26" s="498" t="s">
        <v>82</v>
      </c>
      <c r="O26" s="499"/>
      <c r="P26" s="500" t="s">
        <v>83</v>
      </c>
      <c r="Q26" s="498" t="s">
        <v>81</v>
      </c>
      <c r="R26" s="499"/>
      <c r="S26" s="498" t="s">
        <v>82</v>
      </c>
      <c r="T26" s="499"/>
      <c r="U26" s="500" t="s">
        <v>83</v>
      </c>
      <c r="V26" s="498" t="s">
        <v>81</v>
      </c>
      <c r="W26" s="499"/>
      <c r="X26" s="498" t="s">
        <v>82</v>
      </c>
      <c r="Y26" s="499"/>
      <c r="Z26" s="500" t="s">
        <v>83</v>
      </c>
      <c r="AA26" s="498" t="s">
        <v>81</v>
      </c>
      <c r="AB26" s="499"/>
      <c r="AC26" s="498" t="s">
        <v>82</v>
      </c>
      <c r="AD26" s="499"/>
      <c r="AE26" s="500" t="s">
        <v>83</v>
      </c>
      <c r="AF26" s="498" t="s">
        <v>81</v>
      </c>
      <c r="AG26" s="499"/>
      <c r="AH26" s="498" t="s">
        <v>82</v>
      </c>
      <c r="AI26" s="499"/>
      <c r="AJ26" s="500" t="s">
        <v>83</v>
      </c>
      <c r="AK26" s="498" t="s">
        <v>81</v>
      </c>
      <c r="AL26" s="499"/>
      <c r="AM26" s="498" t="s">
        <v>82</v>
      </c>
      <c r="AN26" s="499"/>
      <c r="AO26" s="500" t="s">
        <v>83</v>
      </c>
    </row>
    <row r="27" spans="1:41" ht="30" x14ac:dyDescent="0.25">
      <c r="A27" s="497"/>
      <c r="B27" s="30" t="s">
        <v>97</v>
      </c>
      <c r="C27" s="30" t="s">
        <v>98</v>
      </c>
      <c r="D27" s="30" t="s">
        <v>97</v>
      </c>
      <c r="E27" s="30" t="s">
        <v>98</v>
      </c>
      <c r="F27" s="497"/>
      <c r="G27" s="30" t="s">
        <v>97</v>
      </c>
      <c r="H27" s="30" t="s">
        <v>98</v>
      </c>
      <c r="I27" s="30" t="s">
        <v>97</v>
      </c>
      <c r="J27" s="30" t="s">
        <v>98</v>
      </c>
      <c r="K27" s="497"/>
      <c r="L27" s="30" t="s">
        <v>97</v>
      </c>
      <c r="M27" s="30" t="s">
        <v>98</v>
      </c>
      <c r="N27" s="30" t="s">
        <v>97</v>
      </c>
      <c r="O27" s="30" t="s">
        <v>98</v>
      </c>
      <c r="P27" s="501"/>
      <c r="Q27" s="30" t="s">
        <v>97</v>
      </c>
      <c r="R27" s="30" t="s">
        <v>98</v>
      </c>
      <c r="S27" s="30" t="s">
        <v>97</v>
      </c>
      <c r="T27" s="30" t="s">
        <v>98</v>
      </c>
      <c r="U27" s="501"/>
      <c r="V27" s="30" t="s">
        <v>97</v>
      </c>
      <c r="W27" s="30" t="s">
        <v>98</v>
      </c>
      <c r="X27" s="30" t="s">
        <v>97</v>
      </c>
      <c r="Y27" s="30" t="s">
        <v>98</v>
      </c>
      <c r="Z27" s="501"/>
      <c r="AA27" s="30" t="s">
        <v>97</v>
      </c>
      <c r="AB27" s="30" t="s">
        <v>98</v>
      </c>
      <c r="AC27" s="30" t="s">
        <v>97</v>
      </c>
      <c r="AD27" s="30" t="s">
        <v>98</v>
      </c>
      <c r="AE27" s="501"/>
      <c r="AF27" s="30" t="s">
        <v>97</v>
      </c>
      <c r="AG27" s="30" t="s">
        <v>98</v>
      </c>
      <c r="AH27" s="30" t="s">
        <v>97</v>
      </c>
      <c r="AI27" s="30" t="s">
        <v>98</v>
      </c>
      <c r="AJ27" s="501"/>
      <c r="AK27" s="437" t="s">
        <v>97</v>
      </c>
      <c r="AL27" s="437" t="s">
        <v>98</v>
      </c>
      <c r="AM27" s="437" t="s">
        <v>97</v>
      </c>
      <c r="AN27" s="437" t="s">
        <v>98</v>
      </c>
      <c r="AO27" s="501"/>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68">
        <v>0</v>
      </c>
      <c r="AK28" s="37">
        <f>AF28*(1+$AJ$24)</f>
        <v>12.561430159485083</v>
      </c>
      <c r="AL28" s="37">
        <f t="shared" ref="AL28:AL32" si="15">AG28*(1+$AJ$24)</f>
        <v>12.561430159485083</v>
      </c>
      <c r="AM28" s="37">
        <f t="shared" ref="AM28:AM32" si="16">AH28*(1+$AJ$24)</f>
        <v>12.561430159485083</v>
      </c>
      <c r="AN28" s="37">
        <f t="shared" ref="AN28:AN32" si="17">AI28*(1+$AJ$24)</f>
        <v>12.561430159485083</v>
      </c>
      <c r="AO28" s="368">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68">
        <v>0</v>
      </c>
      <c r="AK29" s="37">
        <f t="shared" ref="AK29:AK32" si="18">AF29*(1+$AJ$24)</f>
        <v>12.561430159485083</v>
      </c>
      <c r="AL29" s="37">
        <f t="shared" si="15"/>
        <v>12.550821159485082</v>
      </c>
      <c r="AM29" s="37">
        <f t="shared" si="16"/>
        <v>12.550821159485082</v>
      </c>
      <c r="AN29" s="37">
        <f t="shared" si="17"/>
        <v>12.550821159485082</v>
      </c>
      <c r="AO29" s="368">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68">
        <v>0</v>
      </c>
      <c r="AK30" s="37">
        <f t="shared" si="18"/>
        <v>12.561430159485083</v>
      </c>
      <c r="AL30" s="37">
        <f t="shared" si="15"/>
        <v>12.561430159485083</v>
      </c>
      <c r="AM30" s="37">
        <f t="shared" si="16"/>
        <v>12.561430159485083</v>
      </c>
      <c r="AN30" s="37">
        <f t="shared" si="17"/>
        <v>12.561430159485083</v>
      </c>
      <c r="AO30" s="368">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68">
        <v>0</v>
      </c>
      <c r="AK31" s="37">
        <f t="shared" si="18"/>
        <v>12.561430159485083</v>
      </c>
      <c r="AL31" s="37">
        <f t="shared" si="15"/>
        <v>12.561430159485083</v>
      </c>
      <c r="AM31" s="37">
        <f t="shared" si="16"/>
        <v>12.561430159485083</v>
      </c>
      <c r="AN31" s="37">
        <f t="shared" si="17"/>
        <v>12.561430159485083</v>
      </c>
      <c r="AO31" s="368">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68">
        <v>0</v>
      </c>
      <c r="AK32" s="37">
        <f t="shared" si="18"/>
        <v>12.561430159485083</v>
      </c>
      <c r="AL32" s="37">
        <f t="shared" si="15"/>
        <v>12.561430159485083</v>
      </c>
      <c r="AM32" s="37">
        <f t="shared" si="16"/>
        <v>12.561430159485083</v>
      </c>
      <c r="AN32" s="37">
        <f t="shared" si="17"/>
        <v>12.561430159485083</v>
      </c>
      <c r="AO32" s="368">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97" t="s">
        <v>80</v>
      </c>
      <c r="B36" s="495">
        <v>2013</v>
      </c>
      <c r="C36" s="495"/>
      <c r="D36" s="495"/>
      <c r="E36" s="495"/>
      <c r="F36" s="495"/>
      <c r="G36" s="495">
        <v>2014</v>
      </c>
      <c r="H36" s="495"/>
      <c r="I36" s="495"/>
      <c r="J36" s="495"/>
      <c r="K36" s="495"/>
      <c r="L36" s="495">
        <v>2015</v>
      </c>
      <c r="M36" s="495"/>
      <c r="N36" s="495"/>
      <c r="O36" s="495"/>
      <c r="P36" s="495"/>
      <c r="Q36" s="495">
        <v>2016</v>
      </c>
      <c r="R36" s="495"/>
      <c r="S36" s="495"/>
      <c r="T36" s="495"/>
      <c r="U36" s="495"/>
      <c r="V36" s="495">
        <v>2017</v>
      </c>
      <c r="W36" s="495"/>
      <c r="X36" s="495"/>
      <c r="Y36" s="495"/>
      <c r="Z36" s="495"/>
      <c r="AA36" s="495">
        <v>2018</v>
      </c>
      <c r="AB36" s="495"/>
      <c r="AC36" s="495"/>
      <c r="AD36" s="495"/>
      <c r="AE36" s="495"/>
      <c r="AF36" s="495">
        <v>2019</v>
      </c>
      <c r="AG36" s="495"/>
      <c r="AH36" s="495"/>
      <c r="AI36" s="495"/>
      <c r="AJ36" s="495"/>
      <c r="AK36" s="495">
        <v>2020</v>
      </c>
      <c r="AL36" s="495"/>
      <c r="AM36" s="495"/>
      <c r="AN36" s="495"/>
      <c r="AO36" s="495"/>
    </row>
    <row r="37" spans="1:41" ht="30" customHeight="1" x14ac:dyDescent="0.25">
      <c r="A37" s="497"/>
      <c r="B37" s="497" t="s">
        <v>81</v>
      </c>
      <c r="C37" s="497"/>
      <c r="D37" s="497" t="s">
        <v>82</v>
      </c>
      <c r="E37" s="497"/>
      <c r="F37" s="497" t="s">
        <v>83</v>
      </c>
      <c r="G37" s="497" t="s">
        <v>81</v>
      </c>
      <c r="H37" s="497"/>
      <c r="I37" s="497" t="s">
        <v>82</v>
      </c>
      <c r="J37" s="497"/>
      <c r="K37" s="497" t="s">
        <v>83</v>
      </c>
      <c r="L37" s="497" t="s">
        <v>81</v>
      </c>
      <c r="M37" s="497"/>
      <c r="N37" s="497" t="s">
        <v>82</v>
      </c>
      <c r="O37" s="497"/>
      <c r="P37" s="497" t="s">
        <v>83</v>
      </c>
      <c r="Q37" s="497" t="s">
        <v>81</v>
      </c>
      <c r="R37" s="497"/>
      <c r="S37" s="497" t="s">
        <v>82</v>
      </c>
      <c r="T37" s="497"/>
      <c r="U37" s="497" t="s">
        <v>83</v>
      </c>
      <c r="V37" s="497" t="s">
        <v>81</v>
      </c>
      <c r="W37" s="497"/>
      <c r="X37" s="497" t="s">
        <v>82</v>
      </c>
      <c r="Y37" s="497"/>
      <c r="Z37" s="497" t="s">
        <v>83</v>
      </c>
      <c r="AA37" s="497" t="s">
        <v>81</v>
      </c>
      <c r="AB37" s="497"/>
      <c r="AC37" s="497" t="s">
        <v>82</v>
      </c>
      <c r="AD37" s="497"/>
      <c r="AE37" s="497" t="s">
        <v>83</v>
      </c>
      <c r="AF37" s="497" t="s">
        <v>81</v>
      </c>
      <c r="AG37" s="497"/>
      <c r="AH37" s="497" t="s">
        <v>82</v>
      </c>
      <c r="AI37" s="497"/>
      <c r="AJ37" s="497" t="s">
        <v>83</v>
      </c>
      <c r="AK37" s="497" t="s">
        <v>81</v>
      </c>
      <c r="AL37" s="497"/>
      <c r="AM37" s="497" t="s">
        <v>82</v>
      </c>
      <c r="AN37" s="497"/>
      <c r="AO37" s="497" t="s">
        <v>83</v>
      </c>
    </row>
    <row r="38" spans="1:41" ht="60" x14ac:dyDescent="0.25">
      <c r="A38" s="497"/>
      <c r="B38" s="30" t="s">
        <v>100</v>
      </c>
      <c r="C38" s="30" t="s">
        <v>101</v>
      </c>
      <c r="D38" s="30" t="s">
        <v>100</v>
      </c>
      <c r="E38" s="30" t="s">
        <v>101</v>
      </c>
      <c r="F38" s="497"/>
      <c r="G38" s="30" t="s">
        <v>100</v>
      </c>
      <c r="H38" s="30" t="s">
        <v>101</v>
      </c>
      <c r="I38" s="30" t="s">
        <v>100</v>
      </c>
      <c r="J38" s="30" t="s">
        <v>101</v>
      </c>
      <c r="K38" s="497"/>
      <c r="L38" s="30" t="s">
        <v>100</v>
      </c>
      <c r="M38" s="30" t="s">
        <v>101</v>
      </c>
      <c r="N38" s="30" t="s">
        <v>100</v>
      </c>
      <c r="O38" s="30" t="s">
        <v>101</v>
      </c>
      <c r="P38" s="497"/>
      <c r="Q38" s="30" t="s">
        <v>100</v>
      </c>
      <c r="R38" s="30" t="s">
        <v>101</v>
      </c>
      <c r="S38" s="30" t="s">
        <v>100</v>
      </c>
      <c r="T38" s="30" t="s">
        <v>101</v>
      </c>
      <c r="U38" s="497"/>
      <c r="V38" s="30" t="s">
        <v>100</v>
      </c>
      <c r="W38" s="30" t="s">
        <v>101</v>
      </c>
      <c r="X38" s="30" t="s">
        <v>100</v>
      </c>
      <c r="Y38" s="30" t="s">
        <v>101</v>
      </c>
      <c r="Z38" s="497"/>
      <c r="AA38" s="30" t="s">
        <v>100</v>
      </c>
      <c r="AB38" s="30" t="s">
        <v>101</v>
      </c>
      <c r="AC38" s="30" t="s">
        <v>100</v>
      </c>
      <c r="AD38" s="30" t="s">
        <v>101</v>
      </c>
      <c r="AE38" s="497"/>
      <c r="AF38" s="30" t="s">
        <v>100</v>
      </c>
      <c r="AG38" s="30" t="s">
        <v>101</v>
      </c>
      <c r="AH38" s="30" t="s">
        <v>100</v>
      </c>
      <c r="AI38" s="30" t="s">
        <v>101</v>
      </c>
      <c r="AJ38" s="497"/>
      <c r="AK38" s="437" t="s">
        <v>100</v>
      </c>
      <c r="AL38" s="437" t="s">
        <v>101</v>
      </c>
      <c r="AM38" s="437" t="s">
        <v>100</v>
      </c>
      <c r="AN38" s="437" t="s">
        <v>101</v>
      </c>
      <c r="AO38" s="497"/>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0" t="s">
        <v>449</v>
      </c>
      <c r="B42" s="38">
        <v>9.15</v>
      </c>
      <c r="C42" s="38">
        <v>8.2899999999999991</v>
      </c>
      <c r="D42" s="38">
        <v>9.15</v>
      </c>
      <c r="E42" s="38">
        <v>8.2899999999999991</v>
      </c>
      <c r="F42" s="451">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96" t="s">
        <v>80</v>
      </c>
      <c r="B47" s="495">
        <v>2013</v>
      </c>
      <c r="C47" s="495"/>
      <c r="D47" s="495"/>
      <c r="E47" s="495">
        <v>2014</v>
      </c>
      <c r="F47" s="495"/>
      <c r="G47" s="495"/>
      <c r="H47" s="495">
        <v>2015</v>
      </c>
      <c r="I47" s="495"/>
      <c r="J47" s="495"/>
      <c r="K47" s="495">
        <v>2016</v>
      </c>
      <c r="L47" s="495"/>
      <c r="M47" s="495"/>
      <c r="N47" s="495">
        <v>2017</v>
      </c>
      <c r="O47" s="495"/>
      <c r="P47" s="495"/>
      <c r="Q47" s="495">
        <v>2018</v>
      </c>
      <c r="R47" s="495"/>
      <c r="S47" s="495"/>
      <c r="T47" s="495">
        <v>2019</v>
      </c>
      <c r="U47" s="495"/>
      <c r="V47" s="495"/>
      <c r="W47" s="495">
        <v>2019</v>
      </c>
      <c r="X47" s="495"/>
      <c r="Y47" s="495"/>
    </row>
    <row r="48" spans="1:41" ht="45" x14ac:dyDescent="0.25">
      <c r="A48" s="496"/>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37" t="s">
        <v>81</v>
      </c>
      <c r="X48" s="437" t="s">
        <v>82</v>
      </c>
      <c r="Y48" s="437"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96" t="s">
        <v>80</v>
      </c>
      <c r="B61" s="495">
        <v>2013</v>
      </c>
      <c r="C61" s="495"/>
      <c r="D61" s="495"/>
      <c r="E61" s="495">
        <v>2014</v>
      </c>
      <c r="F61" s="495"/>
      <c r="G61" s="495"/>
      <c r="H61" s="495">
        <v>2015</v>
      </c>
      <c r="I61" s="495"/>
      <c r="J61" s="495"/>
      <c r="K61" s="495">
        <v>2016</v>
      </c>
      <c r="L61" s="495"/>
      <c r="M61" s="495"/>
      <c r="N61" s="495">
        <v>2017</v>
      </c>
      <c r="O61" s="495"/>
      <c r="P61" s="495"/>
      <c r="Q61" s="495">
        <v>2018</v>
      </c>
      <c r="R61" s="495"/>
      <c r="S61" s="495"/>
    </row>
    <row r="62" spans="1:25" ht="45" x14ac:dyDescent="0.25">
      <c r="A62" s="496"/>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96" t="s">
        <v>80</v>
      </c>
      <c r="B78" s="495">
        <v>2013</v>
      </c>
      <c r="C78" s="495"/>
      <c r="D78" s="495"/>
      <c r="E78" s="495">
        <v>2014</v>
      </c>
      <c r="F78" s="495"/>
      <c r="G78" s="495"/>
      <c r="H78" s="495">
        <v>2015</v>
      </c>
      <c r="I78" s="495"/>
      <c r="J78" s="495"/>
      <c r="K78" s="495">
        <v>2016</v>
      </c>
      <c r="L78" s="495"/>
      <c r="M78" s="495"/>
      <c r="N78" s="495">
        <v>2017</v>
      </c>
      <c r="O78" s="495"/>
      <c r="P78" s="495"/>
      <c r="Q78" s="495">
        <v>2018</v>
      </c>
      <c r="R78" s="495"/>
      <c r="S78" s="495"/>
    </row>
    <row r="79" spans="1:19" ht="45" x14ac:dyDescent="0.25">
      <c r="A79" s="496"/>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sheetProtection password="C752" sheet="1" objects="1" scenarios="1"/>
  <mergeCells count="9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 ref="W11:Y11"/>
    <mergeCell ref="AK25:AO25"/>
    <mergeCell ref="AK26:AL26"/>
    <mergeCell ref="AM26:AN26"/>
    <mergeCell ref="AO26:AO27"/>
    <mergeCell ref="AA25:AE25"/>
    <mergeCell ref="AF25:AJ25"/>
    <mergeCell ref="AH26:AI26"/>
    <mergeCell ref="AJ26:AJ27"/>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E26:AE27"/>
    <mergeCell ref="AF26:AG26"/>
    <mergeCell ref="AA26:AB26"/>
    <mergeCell ref="AC26:AD26"/>
    <mergeCell ref="U26:U27"/>
    <mergeCell ref="V26:W26"/>
    <mergeCell ref="X26:Y26"/>
    <mergeCell ref="Z26:Z2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A47:A48"/>
    <mergeCell ref="B47:D47"/>
    <mergeCell ref="E47:G47"/>
    <mergeCell ref="H47:J47"/>
    <mergeCell ref="K47:M47"/>
    <mergeCell ref="N47:P47"/>
    <mergeCell ref="Q47:S47"/>
    <mergeCell ref="T47:V47"/>
    <mergeCell ref="Z37:Z38"/>
    <mergeCell ref="AA37:AB37"/>
    <mergeCell ref="P37:P38"/>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opLeftCell="A4" zoomScaleNormal="100" workbookViewId="0">
      <selection activeCell="F8" sqref="F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3"/>
      <c r="B1" s="179" t="s">
        <v>467</v>
      </c>
      <c r="C1" s="468" t="s">
        <v>467</v>
      </c>
      <c r="D1" s="179"/>
      <c r="E1" s="154"/>
      <c r="F1" s="154"/>
      <c r="G1" s="154"/>
      <c r="H1" s="154"/>
    </row>
    <row r="2" spans="1:8" ht="15.75" thickBot="1" x14ac:dyDescent="0.3">
      <c r="A2" s="180" t="s">
        <v>202</v>
      </c>
      <c r="B2" s="181"/>
      <c r="C2" s="181"/>
      <c r="D2" s="181"/>
      <c r="E2" s="181"/>
      <c r="F2" s="181"/>
      <c r="G2" s="181"/>
      <c r="H2" s="181"/>
    </row>
    <row r="3" spans="1:8" ht="15.75" thickTop="1" x14ac:dyDescent="0.25">
      <c r="A3" s="182"/>
      <c r="B3" s="183" t="s">
        <v>242</v>
      </c>
      <c r="C3" s="554" t="s">
        <v>203</v>
      </c>
      <c r="D3" s="555"/>
      <c r="E3" s="555"/>
      <c r="F3" s="555"/>
      <c r="G3" s="558" t="s">
        <v>243</v>
      </c>
      <c r="H3" s="559"/>
    </row>
    <row r="4" spans="1:8" x14ac:dyDescent="0.25">
      <c r="A4" s="184"/>
      <c r="B4" s="185" t="s">
        <v>244</v>
      </c>
      <c r="C4" s="556"/>
      <c r="D4" s="557"/>
      <c r="E4" s="557"/>
      <c r="F4" s="557"/>
      <c r="G4" s="560"/>
      <c r="H4" s="561"/>
    </row>
    <row r="5" spans="1:8" ht="25.5" x14ac:dyDescent="0.25">
      <c r="A5" s="562" t="s">
        <v>204</v>
      </c>
      <c r="B5" s="564" t="s">
        <v>205</v>
      </c>
      <c r="C5" s="566" t="s">
        <v>266</v>
      </c>
      <c r="D5" s="186" t="s">
        <v>97</v>
      </c>
      <c r="E5" s="186" t="s">
        <v>438</v>
      </c>
      <c r="F5" s="186" t="s">
        <v>444</v>
      </c>
      <c r="G5" s="186" t="s">
        <v>97</v>
      </c>
      <c r="H5" s="157" t="str">
        <f>+F5</f>
        <v>Biodiesel B10</v>
      </c>
    </row>
    <row r="6" spans="1:8" x14ac:dyDescent="0.25">
      <c r="A6" s="562"/>
      <c r="B6" s="564"/>
      <c r="C6" s="567"/>
      <c r="D6" s="187">
        <v>0.08</v>
      </c>
      <c r="E6" s="205">
        <v>0.02</v>
      </c>
      <c r="F6" s="188">
        <v>0.1</v>
      </c>
      <c r="G6" s="205">
        <v>0.1</v>
      </c>
      <c r="H6" s="188">
        <f>+F6</f>
        <v>0.1</v>
      </c>
    </row>
    <row r="7" spans="1:8" x14ac:dyDescent="0.25">
      <c r="A7" s="563"/>
      <c r="B7" s="565"/>
      <c r="C7" s="156" t="s">
        <v>206</v>
      </c>
      <c r="D7" s="186" t="s">
        <v>206</v>
      </c>
      <c r="E7" s="186" t="s">
        <v>206</v>
      </c>
      <c r="F7" s="186" t="s">
        <v>206</v>
      </c>
      <c r="G7" s="156" t="s">
        <v>206</v>
      </c>
      <c r="H7" s="157" t="s">
        <v>206</v>
      </c>
    </row>
    <row r="8" spans="1:8" x14ac:dyDescent="0.25">
      <c r="A8" s="158" t="s">
        <v>207</v>
      </c>
      <c r="B8" s="164" t="s">
        <v>208</v>
      </c>
      <c r="C8" s="160">
        <f>+'Calculo IP ZDF'!B25</f>
        <v>4055.21</v>
      </c>
      <c r="D8" s="189">
        <f>+'Calculo IP ZDF'!G25</f>
        <v>4474.7190000000001</v>
      </c>
      <c r="E8" s="189">
        <f>+'Calculo IP ZDF'!F25</f>
        <v>4294.4216037999995</v>
      </c>
      <c r="F8" s="189">
        <f>+'Calculo IP ZDF'!H25</f>
        <v>5101.4897789999995</v>
      </c>
      <c r="G8" s="160">
        <f>+'GAS CTE'!D9</f>
        <v>4474.72</v>
      </c>
      <c r="H8" s="161">
        <f>+BIODIESEL!G9</f>
        <v>5266.59</v>
      </c>
    </row>
    <row r="9" spans="1:8" x14ac:dyDescent="0.25">
      <c r="A9" s="158" t="s">
        <v>209</v>
      </c>
      <c r="B9" s="164" t="s">
        <v>210</v>
      </c>
      <c r="C9" s="168" t="s">
        <v>211</v>
      </c>
      <c r="D9" s="190" t="s">
        <v>211</v>
      </c>
      <c r="E9" s="190" t="s">
        <v>211</v>
      </c>
      <c r="F9" s="190" t="s">
        <v>211</v>
      </c>
      <c r="G9" s="168">
        <f>+'GAS CTE'!D10</f>
        <v>491.63400000000001</v>
      </c>
      <c r="H9" s="191">
        <f>+BIODIESEL!G10</f>
        <v>470.57</v>
      </c>
    </row>
    <row r="10" spans="1:8" x14ac:dyDescent="0.25">
      <c r="A10" s="158"/>
      <c r="B10" s="164" t="s">
        <v>138</v>
      </c>
      <c r="C10" s="168" t="s">
        <v>211</v>
      </c>
      <c r="D10" s="190" t="s">
        <v>211</v>
      </c>
      <c r="E10" s="190" t="s">
        <v>211</v>
      </c>
      <c r="F10" s="190" t="s">
        <v>211</v>
      </c>
      <c r="G10" s="168" t="s">
        <v>139</v>
      </c>
      <c r="H10" s="191" t="str">
        <f>+G10</f>
        <v>(3)</v>
      </c>
    </row>
    <row r="11" spans="1:8" x14ac:dyDescent="0.25">
      <c r="A11" s="158"/>
      <c r="B11" s="164" t="s">
        <v>140</v>
      </c>
      <c r="C11" s="192" t="s">
        <v>241</v>
      </c>
      <c r="D11" s="190" t="str">
        <f>+C11</f>
        <v>(4)</v>
      </c>
      <c r="E11" s="190" t="str">
        <f>+C11</f>
        <v>(4)</v>
      </c>
      <c r="F11" s="190" t="str">
        <f>+C11</f>
        <v>(4)</v>
      </c>
      <c r="G11" s="168" t="str">
        <f>+D11</f>
        <v>(4)</v>
      </c>
      <c r="H11" s="191" t="str">
        <f>+F11</f>
        <v>(4)</v>
      </c>
    </row>
    <row r="12" spans="1:8" x14ac:dyDescent="0.25">
      <c r="A12" s="158" t="s">
        <v>212</v>
      </c>
      <c r="B12" s="164" t="s">
        <v>349</v>
      </c>
      <c r="C12" s="192" t="s">
        <v>240</v>
      </c>
      <c r="D12" s="193" t="str">
        <f>+C12</f>
        <v>(2)</v>
      </c>
      <c r="E12" s="193" t="str">
        <f>+C12</f>
        <v>(2)</v>
      </c>
      <c r="F12" s="193" t="str">
        <f>+C12</f>
        <v>(2)</v>
      </c>
      <c r="G12" s="192" t="str">
        <f>+C12</f>
        <v>(2)</v>
      </c>
      <c r="H12" s="194" t="str">
        <f>+C12</f>
        <v>(2)</v>
      </c>
    </row>
    <row r="13" spans="1:8" x14ac:dyDescent="0.25">
      <c r="A13" s="158" t="s">
        <v>214</v>
      </c>
      <c r="B13" s="164" t="s">
        <v>215</v>
      </c>
      <c r="C13" s="160">
        <f>+RUBROS!W13</f>
        <v>21.906900579364827</v>
      </c>
      <c r="D13" s="189">
        <f>+C13</f>
        <v>21.906900579364827</v>
      </c>
      <c r="E13" s="189">
        <f>+C13</f>
        <v>21.906900579364827</v>
      </c>
      <c r="F13" s="189">
        <f>+C13</f>
        <v>21.906900579364827</v>
      </c>
      <c r="G13" s="160">
        <f>+RUBROS!X13</f>
        <v>21.906900579364827</v>
      </c>
      <c r="H13" s="161">
        <f>+G13</f>
        <v>21.906900579364827</v>
      </c>
    </row>
    <row r="14" spans="1:8" x14ac:dyDescent="0.25">
      <c r="A14" s="158" t="s">
        <v>218</v>
      </c>
      <c r="B14" s="164" t="s">
        <v>219</v>
      </c>
      <c r="C14" s="160">
        <f>+RUBROS!AK39</f>
        <v>12.561430159485083</v>
      </c>
      <c r="D14" s="189">
        <f>+C14</f>
        <v>12.561430159485083</v>
      </c>
      <c r="E14" s="189">
        <f>+C14</f>
        <v>12.561430159485083</v>
      </c>
      <c r="F14" s="189">
        <f>+C14</f>
        <v>12.561430159485083</v>
      </c>
      <c r="G14" s="160">
        <f>+C14</f>
        <v>12.561430159485083</v>
      </c>
      <c r="H14" s="161">
        <f>+C14</f>
        <v>12.561430159485083</v>
      </c>
    </row>
    <row r="15" spans="1:8" x14ac:dyDescent="0.25">
      <c r="A15" s="158"/>
      <c r="B15" s="164" t="s">
        <v>220</v>
      </c>
      <c r="C15" s="160">
        <f>+'GAS CTE'!C16</f>
        <v>71.510000000000005</v>
      </c>
      <c r="D15" s="189">
        <f>+C15</f>
        <v>71.510000000000005</v>
      </c>
      <c r="E15" s="189">
        <f>+BIODIESEL!E16</f>
        <v>71.510000000000005</v>
      </c>
      <c r="F15" s="189">
        <f>+E15</f>
        <v>71.510000000000005</v>
      </c>
      <c r="G15" s="160">
        <f>+C15</f>
        <v>71.510000000000005</v>
      </c>
      <c r="H15" s="161">
        <f>+C15</f>
        <v>71.510000000000005</v>
      </c>
    </row>
    <row r="16" spans="1:8" x14ac:dyDescent="0.25">
      <c r="A16" s="165" t="s">
        <v>221</v>
      </c>
      <c r="B16" s="196" t="s">
        <v>222</v>
      </c>
      <c r="C16" s="166">
        <f t="shared" ref="C16:H16" si="0">SUM(C8:C15)</f>
        <v>4161.1883307388498</v>
      </c>
      <c r="D16" s="197">
        <f t="shared" si="0"/>
        <v>4580.6973307388498</v>
      </c>
      <c r="E16" s="197">
        <f t="shared" si="0"/>
        <v>4400.3999345388493</v>
      </c>
      <c r="F16" s="197">
        <f t="shared" si="0"/>
        <v>5207.4681097388493</v>
      </c>
      <c r="G16" s="166">
        <f t="shared" si="0"/>
        <v>5072.33233073885</v>
      </c>
      <c r="H16" s="167">
        <f t="shared" si="0"/>
        <v>5843.1383307388496</v>
      </c>
    </row>
    <row r="17" spans="1:10" x14ac:dyDescent="0.25">
      <c r="A17" s="158" t="s">
        <v>245</v>
      </c>
      <c r="B17" s="164" t="s">
        <v>246</v>
      </c>
      <c r="C17" s="160" t="str">
        <f t="shared" ref="C17:D20" si="1">E17</f>
        <v>**</v>
      </c>
      <c r="D17" s="189" t="str">
        <f t="shared" si="1"/>
        <v>**</v>
      </c>
      <c r="E17" s="189" t="str">
        <f>+A35</f>
        <v>**</v>
      </c>
      <c r="F17" s="189" t="str">
        <f>+E17</f>
        <v>**</v>
      </c>
      <c r="G17" s="160" t="str">
        <f>+F17</f>
        <v>**</v>
      </c>
      <c r="H17" s="161" t="str">
        <f>+F17</f>
        <v>**</v>
      </c>
    </row>
    <row r="18" spans="1:10" x14ac:dyDescent="0.25">
      <c r="A18" s="158" t="s">
        <v>223</v>
      </c>
      <c r="B18" s="164" t="s">
        <v>247</v>
      </c>
      <c r="C18" s="160" t="str">
        <f t="shared" si="1"/>
        <v>***</v>
      </c>
      <c r="D18" s="189" t="str">
        <f t="shared" si="1"/>
        <v>***</v>
      </c>
      <c r="E18" s="189" t="str">
        <f>+A36</f>
        <v>***</v>
      </c>
      <c r="F18" s="189" t="str">
        <f>+E18</f>
        <v>***</v>
      </c>
      <c r="G18" s="160" t="str">
        <f t="shared" ref="G18:G20" si="2">+F18</f>
        <v>***</v>
      </c>
      <c r="H18" s="161" t="str">
        <f t="shared" ref="H18:H20" si="3">+F18</f>
        <v>***</v>
      </c>
    </row>
    <row r="19" spans="1:10" x14ac:dyDescent="0.25">
      <c r="A19" s="158" t="s">
        <v>248</v>
      </c>
      <c r="B19" s="164" t="s">
        <v>249</v>
      </c>
      <c r="C19" s="198" t="s">
        <v>257</v>
      </c>
      <c r="D19" s="195" t="str">
        <f t="shared" si="1"/>
        <v>****</v>
      </c>
      <c r="E19" s="195" t="str">
        <f>+A37</f>
        <v>****</v>
      </c>
      <c r="F19" s="195" t="str">
        <f>+E19</f>
        <v>****</v>
      </c>
      <c r="G19" s="160" t="str">
        <f t="shared" si="2"/>
        <v>****</v>
      </c>
      <c r="H19" s="161" t="str">
        <f t="shared" si="3"/>
        <v>****</v>
      </c>
    </row>
    <row r="20" spans="1:10" x14ac:dyDescent="0.25">
      <c r="A20" s="158" t="s">
        <v>227</v>
      </c>
      <c r="B20" s="164" t="s">
        <v>145</v>
      </c>
      <c r="C20" s="160" t="str">
        <f t="shared" si="1"/>
        <v>*****</v>
      </c>
      <c r="D20" s="189" t="str">
        <f t="shared" si="1"/>
        <v>*****</v>
      </c>
      <c r="E20" s="189" t="str">
        <f>+A38</f>
        <v>*****</v>
      </c>
      <c r="F20" s="189" t="str">
        <f>+E20</f>
        <v>*****</v>
      </c>
      <c r="G20" s="160" t="str">
        <f t="shared" si="2"/>
        <v>*****</v>
      </c>
      <c r="H20" s="161" t="str">
        <f t="shared" si="3"/>
        <v>*****</v>
      </c>
    </row>
    <row r="21" spans="1:10" x14ac:dyDescent="0.25">
      <c r="A21" s="165" t="s">
        <v>229</v>
      </c>
      <c r="B21" s="196" t="s">
        <v>250</v>
      </c>
      <c r="C21" s="166">
        <f t="shared" ref="C21:H21" si="4">+C16</f>
        <v>4161.1883307388498</v>
      </c>
      <c r="D21" s="197">
        <f t="shared" si="4"/>
        <v>4580.6973307388498</v>
      </c>
      <c r="E21" s="197">
        <f t="shared" si="4"/>
        <v>4400.3999345388493</v>
      </c>
      <c r="F21" s="197">
        <f t="shared" si="4"/>
        <v>5207.4681097388493</v>
      </c>
      <c r="G21" s="166">
        <f t="shared" si="4"/>
        <v>5072.33233073885</v>
      </c>
      <c r="H21" s="167">
        <f t="shared" si="4"/>
        <v>5843.1383307388496</v>
      </c>
    </row>
    <row r="22" spans="1:10" x14ac:dyDescent="0.25">
      <c r="A22" s="158" t="s">
        <v>231</v>
      </c>
      <c r="B22" s="164" t="s">
        <v>176</v>
      </c>
      <c r="C22" s="160" t="str">
        <f t="shared" ref="C22:D24" si="5">E22</f>
        <v>***</v>
      </c>
      <c r="D22" s="189" t="str">
        <f t="shared" si="5"/>
        <v>***</v>
      </c>
      <c r="E22" s="189" t="str">
        <f>+E18</f>
        <v>***</v>
      </c>
      <c r="F22" s="189" t="str">
        <f>+E22</f>
        <v>***</v>
      </c>
      <c r="G22" s="160" t="str">
        <f>+G18</f>
        <v>***</v>
      </c>
      <c r="H22" s="161" t="str">
        <f>+H18</f>
        <v>***</v>
      </c>
    </row>
    <row r="23" spans="1:10" x14ac:dyDescent="0.25">
      <c r="A23" s="158" t="s">
        <v>232</v>
      </c>
      <c r="B23" s="159" t="s">
        <v>233</v>
      </c>
      <c r="C23" s="198" t="s">
        <v>261</v>
      </c>
      <c r="D23" s="195" t="str">
        <f>+C23</f>
        <v>******</v>
      </c>
      <c r="E23" s="195" t="s">
        <v>234</v>
      </c>
      <c r="F23" s="195" t="str">
        <f>+E23</f>
        <v>N.A</v>
      </c>
      <c r="G23" s="198" t="str">
        <f>+C23</f>
        <v>******</v>
      </c>
      <c r="H23" s="163" t="s">
        <v>234</v>
      </c>
    </row>
    <row r="24" spans="1:10" x14ac:dyDescent="0.25">
      <c r="A24" s="158" t="s">
        <v>235</v>
      </c>
      <c r="B24" s="164" t="s">
        <v>236</v>
      </c>
      <c r="C24" s="198" t="str">
        <f t="shared" si="5"/>
        <v>*******</v>
      </c>
      <c r="D24" s="195" t="str">
        <f t="shared" si="5"/>
        <v>*******</v>
      </c>
      <c r="E24" s="195" t="str">
        <f>+A40</f>
        <v>*******</v>
      </c>
      <c r="F24" s="195" t="str">
        <f>+E24</f>
        <v>*******</v>
      </c>
      <c r="G24" s="198" t="str">
        <f>+F24</f>
        <v>*******</v>
      </c>
      <c r="H24" s="163" t="str">
        <f>+F24</f>
        <v>*******</v>
      </c>
    </row>
    <row r="25" spans="1:10" ht="15.75" thickBot="1" x14ac:dyDescent="0.3">
      <c r="A25" s="169" t="s">
        <v>237</v>
      </c>
      <c r="B25" s="170" t="s">
        <v>238</v>
      </c>
      <c r="C25" s="171"/>
      <c r="D25" s="199"/>
      <c r="E25" s="199"/>
      <c r="F25" s="199"/>
      <c r="G25" s="171"/>
      <c r="H25" s="172"/>
    </row>
    <row r="26" spans="1:10" ht="15.75" thickTop="1" x14ac:dyDescent="0.25">
      <c r="A26" s="174"/>
      <c r="B26" s="175"/>
      <c r="C26" s="175"/>
      <c r="D26" s="175"/>
      <c r="E26" s="176"/>
      <c r="F26" s="176"/>
      <c r="G26" s="176"/>
      <c r="H26" s="176"/>
    </row>
    <row r="27" spans="1:10" x14ac:dyDescent="0.25">
      <c r="A27" s="177"/>
      <c r="B27" s="292" t="s">
        <v>251</v>
      </c>
      <c r="C27" s="200"/>
      <c r="D27" s="200"/>
      <c r="E27" s="200"/>
      <c r="F27" s="200"/>
      <c r="G27" s="200"/>
      <c r="H27" s="200"/>
    </row>
    <row r="28" spans="1:10" x14ac:dyDescent="0.25">
      <c r="A28" s="177" t="s">
        <v>174</v>
      </c>
      <c r="B28" s="569" t="s">
        <v>174</v>
      </c>
      <c r="C28" s="569"/>
      <c r="D28" s="569"/>
      <c r="E28" s="569"/>
      <c r="F28" s="569"/>
      <c r="G28" s="569"/>
      <c r="H28" s="569"/>
    </row>
    <row r="29" spans="1:10" x14ac:dyDescent="0.25">
      <c r="A29" s="202" t="s">
        <v>213</v>
      </c>
      <c r="B29" s="569" t="s">
        <v>450</v>
      </c>
      <c r="C29" s="569"/>
      <c r="D29" s="569"/>
      <c r="E29" s="569"/>
      <c r="F29" s="569"/>
      <c r="G29" s="569"/>
      <c r="H29" s="569"/>
    </row>
    <row r="30" spans="1:10" ht="27.75" customHeight="1" x14ac:dyDescent="0.25">
      <c r="A30" s="203" t="s">
        <v>240</v>
      </c>
      <c r="B30" s="568" t="s">
        <v>297</v>
      </c>
      <c r="C30" s="568"/>
      <c r="D30" s="568"/>
      <c r="E30" s="568"/>
      <c r="F30" s="568"/>
      <c r="G30" s="568"/>
      <c r="H30" s="568"/>
      <c r="I30" s="568"/>
      <c r="J30" s="568"/>
    </row>
    <row r="31" spans="1:10" ht="58.5" customHeight="1" x14ac:dyDescent="0.25">
      <c r="A31" s="203" t="s">
        <v>139</v>
      </c>
      <c r="B31" s="568" t="s">
        <v>365</v>
      </c>
      <c r="C31" s="568"/>
      <c r="D31" s="568"/>
      <c r="E31" s="568"/>
      <c r="F31" s="568"/>
      <c r="G31" s="568"/>
      <c r="H31" s="568"/>
    </row>
    <row r="32" spans="1:10" ht="61.5" customHeight="1" x14ac:dyDescent="0.25">
      <c r="A32" s="203" t="s">
        <v>241</v>
      </c>
      <c r="B32" s="570" t="s">
        <v>445</v>
      </c>
      <c r="C32" s="571"/>
      <c r="D32" s="571"/>
      <c r="E32" s="571"/>
      <c r="F32" s="571"/>
      <c r="G32" s="571"/>
      <c r="H32" s="571"/>
    </row>
    <row r="33" spans="1:8" x14ac:dyDescent="0.25">
      <c r="A33" s="177"/>
      <c r="B33" s="206"/>
      <c r="C33" s="206"/>
      <c r="D33" s="206"/>
      <c r="E33" s="206"/>
      <c r="F33" s="206"/>
      <c r="G33" s="206"/>
      <c r="H33" s="206"/>
    </row>
    <row r="34" spans="1:8" x14ac:dyDescent="0.25">
      <c r="A34" s="177" t="s">
        <v>104</v>
      </c>
      <c r="B34" s="569" t="s">
        <v>252</v>
      </c>
      <c r="C34" s="569"/>
      <c r="D34" s="569"/>
      <c r="E34" s="569"/>
      <c r="F34" s="569"/>
      <c r="G34" s="569"/>
      <c r="H34" s="569"/>
    </row>
    <row r="35" spans="1:8" ht="29.25" customHeight="1" x14ac:dyDescent="0.25">
      <c r="A35" s="177" t="s">
        <v>253</v>
      </c>
      <c r="B35" s="568" t="s">
        <v>254</v>
      </c>
      <c r="C35" s="568"/>
      <c r="D35" s="568"/>
      <c r="E35" s="568"/>
      <c r="F35" s="568"/>
      <c r="G35" s="568"/>
      <c r="H35" s="568"/>
    </row>
    <row r="36" spans="1:8" x14ac:dyDescent="0.25">
      <c r="A36" s="177" t="s">
        <v>255</v>
      </c>
      <c r="B36" s="569" t="s">
        <v>256</v>
      </c>
      <c r="C36" s="569"/>
      <c r="D36" s="569"/>
      <c r="E36" s="569"/>
      <c r="F36" s="569"/>
      <c r="G36" s="569"/>
      <c r="H36" s="569"/>
    </row>
    <row r="37" spans="1:8" ht="43.5" customHeight="1" x14ac:dyDescent="0.25">
      <c r="A37" s="201" t="s">
        <v>257</v>
      </c>
      <c r="B37" s="568" t="s">
        <v>258</v>
      </c>
      <c r="C37" s="568"/>
      <c r="D37" s="568"/>
      <c r="E37" s="568"/>
      <c r="F37" s="568"/>
      <c r="G37" s="568"/>
      <c r="H37" s="568"/>
    </row>
    <row r="38" spans="1:8" x14ac:dyDescent="0.25">
      <c r="A38" s="201" t="s">
        <v>259</v>
      </c>
      <c r="B38" s="569" t="s">
        <v>260</v>
      </c>
      <c r="C38" s="569"/>
      <c r="D38" s="569"/>
      <c r="E38" s="569"/>
      <c r="F38" s="569"/>
      <c r="G38" s="569"/>
      <c r="H38" s="569"/>
    </row>
    <row r="39" spans="1:8" x14ac:dyDescent="0.25">
      <c r="A39" s="177" t="s">
        <v>261</v>
      </c>
      <c r="B39" s="569" t="s">
        <v>262</v>
      </c>
      <c r="C39" s="569"/>
      <c r="D39" s="569"/>
      <c r="E39" s="569"/>
      <c r="F39" s="569"/>
      <c r="G39" s="569"/>
      <c r="H39" s="569"/>
    </row>
    <row r="40" spans="1:8" ht="30" customHeight="1" x14ac:dyDescent="0.25">
      <c r="A40" s="177" t="s">
        <v>263</v>
      </c>
      <c r="B40" s="568" t="s">
        <v>264</v>
      </c>
      <c r="C40" s="568"/>
      <c r="D40" s="568"/>
      <c r="E40" s="568"/>
      <c r="F40" s="568"/>
      <c r="G40" s="568"/>
      <c r="H40" s="568"/>
    </row>
    <row r="41" spans="1:8" x14ac:dyDescent="0.25">
      <c r="A41" s="153"/>
      <c r="B41" s="154"/>
      <c r="C41" s="154"/>
      <c r="D41" s="154"/>
      <c r="E41" s="154"/>
      <c r="F41" s="154"/>
      <c r="G41" s="154"/>
      <c r="H41" s="154"/>
    </row>
    <row r="42" spans="1:8" x14ac:dyDescent="0.25">
      <c r="A42" s="202" t="s">
        <v>213</v>
      </c>
      <c r="B42" s="572" t="s">
        <v>265</v>
      </c>
      <c r="C42" s="572"/>
      <c r="D42" s="572"/>
      <c r="E42" s="572"/>
      <c r="F42" s="572"/>
      <c r="G42" s="572"/>
      <c r="H42" s="572"/>
    </row>
    <row r="43" spans="1:8" x14ac:dyDescent="0.25">
      <c r="A43" s="203" t="s">
        <v>139</v>
      </c>
      <c r="B43" s="204" t="s">
        <v>239</v>
      </c>
      <c r="C43" s="154"/>
      <c r="D43" s="154"/>
      <c r="E43" s="154"/>
      <c r="F43" s="154"/>
      <c r="G43" s="154"/>
      <c r="H43" s="154"/>
    </row>
    <row r="44" spans="1:8" ht="39.75" customHeight="1" x14ac:dyDescent="0.25">
      <c r="A44" s="203" t="s">
        <v>241</v>
      </c>
      <c r="B44" s="568" t="s">
        <v>267</v>
      </c>
      <c r="C44" s="568"/>
      <c r="D44" s="568"/>
      <c r="E44" s="568"/>
      <c r="F44" s="568"/>
      <c r="G44" s="568"/>
      <c r="H44" s="568"/>
    </row>
    <row r="45" spans="1:8" x14ac:dyDescent="0.25">
      <c r="A45" s="203"/>
      <c r="B45" s="569" t="s">
        <v>174</v>
      </c>
      <c r="C45" s="569"/>
      <c r="D45" s="569"/>
      <c r="E45" s="569"/>
      <c r="F45" s="569"/>
      <c r="G45" s="569"/>
      <c r="H45" s="569"/>
    </row>
    <row r="46" spans="1:8" ht="100.5" customHeight="1" x14ac:dyDescent="0.25">
      <c r="A46" s="573" t="s">
        <v>163</v>
      </c>
      <c r="B46" s="573"/>
      <c r="C46" s="573"/>
      <c r="D46" s="573"/>
      <c r="E46" s="573"/>
      <c r="F46" s="573"/>
      <c r="G46" s="573"/>
      <c r="H46" s="573"/>
    </row>
  </sheetData>
  <sheetProtection password="C712" sheet="1" objects="1" scenarios="1"/>
  <mergeCells count="22">
    <mergeCell ref="I30:J30"/>
    <mergeCell ref="B34:H34"/>
    <mergeCell ref="C5:C6"/>
    <mergeCell ref="C3:F4"/>
    <mergeCell ref="G3:H4"/>
    <mergeCell ref="B32:H32"/>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B1" sqref="B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16 de Diciembre de 2020; 00:00 horas</v>
      </c>
    </row>
    <row r="2" spans="1:8" ht="15.75" thickBot="1" x14ac:dyDescent="0.3">
      <c r="A2" s="180" t="s">
        <v>202</v>
      </c>
      <c r="B2" s="180"/>
    </row>
    <row r="3" spans="1:8" ht="15.75" customHeight="1" thickTop="1" x14ac:dyDescent="0.25">
      <c r="A3" s="212"/>
      <c r="B3" s="213" t="s">
        <v>274</v>
      </c>
      <c r="C3" s="574" t="s">
        <v>203</v>
      </c>
      <c r="D3" s="575"/>
      <c r="E3" s="575"/>
      <c r="F3" s="576"/>
      <c r="G3" s="580" t="s">
        <v>275</v>
      </c>
      <c r="H3" s="581"/>
    </row>
    <row r="4" spans="1:8" x14ac:dyDescent="0.25">
      <c r="A4" s="155"/>
      <c r="B4" s="214" t="s">
        <v>350</v>
      </c>
      <c r="C4" s="577"/>
      <c r="D4" s="578"/>
      <c r="E4" s="578"/>
      <c r="F4" s="579"/>
      <c r="G4" s="582"/>
      <c r="H4" s="583"/>
    </row>
    <row r="5" spans="1:8" ht="38.25" customHeight="1" x14ac:dyDescent="0.25">
      <c r="A5" s="562" t="s">
        <v>204</v>
      </c>
      <c r="B5" s="564" t="s">
        <v>205</v>
      </c>
      <c r="C5" s="566" t="s">
        <v>266</v>
      </c>
      <c r="D5" s="186" t="s">
        <v>97</v>
      </c>
      <c r="E5" s="186" t="s">
        <v>194</v>
      </c>
      <c r="F5" s="186" t="str">
        <f>+AMAZONAS!F5</f>
        <v>Biodiesel B10</v>
      </c>
      <c r="G5" s="186" t="s">
        <v>97</v>
      </c>
      <c r="H5" s="157" t="str">
        <f>+F5</f>
        <v>Biodiesel B10</v>
      </c>
    </row>
    <row r="6" spans="1:8" x14ac:dyDescent="0.25">
      <c r="A6" s="562"/>
      <c r="B6" s="564"/>
      <c r="C6" s="567"/>
      <c r="D6" s="187">
        <v>0.08</v>
      </c>
      <c r="E6" s="205">
        <v>0.02</v>
      </c>
      <c r="F6" s="431">
        <f>+AMAZONAS!F6</f>
        <v>0.1</v>
      </c>
      <c r="G6" s="205">
        <v>0.1</v>
      </c>
      <c r="H6" s="188">
        <f>+F6</f>
        <v>0.1</v>
      </c>
    </row>
    <row r="7" spans="1:8" x14ac:dyDescent="0.25">
      <c r="A7" s="563"/>
      <c r="B7" s="565"/>
      <c r="C7" s="156" t="s">
        <v>206</v>
      </c>
      <c r="D7" s="186" t="s">
        <v>206</v>
      </c>
      <c r="E7" s="186" t="s">
        <v>206</v>
      </c>
      <c r="F7" s="186" t="s">
        <v>206</v>
      </c>
      <c r="G7" s="156" t="s">
        <v>206</v>
      </c>
      <c r="H7" s="157" t="s">
        <v>206</v>
      </c>
    </row>
    <row r="8" spans="1:8" x14ac:dyDescent="0.25">
      <c r="A8" s="158" t="s">
        <v>207</v>
      </c>
      <c r="B8" s="164" t="s">
        <v>208</v>
      </c>
      <c r="C8" s="230">
        <f>+'Calculo IP ZDF'!B26</f>
        <v>3897.05681</v>
      </c>
      <c r="D8" s="236">
        <f>+'Calculo IP ZDF'!G26</f>
        <v>4332.3811290000003</v>
      </c>
      <c r="E8" s="238">
        <f>+'Calculo IP ZDF'!F26</f>
        <v>4026.2246118000003</v>
      </c>
      <c r="F8" s="237">
        <f>+'Calculo IP ZDF'!H26</f>
        <v>4855.1864189999997</v>
      </c>
      <c r="G8" s="215">
        <f>+'GAS CTE'!D9</f>
        <v>4474.72</v>
      </c>
      <c r="H8" s="240">
        <f>+BIODIESEL!G9</f>
        <v>5266.59</v>
      </c>
    </row>
    <row r="9" spans="1:8" x14ac:dyDescent="0.25">
      <c r="A9" s="158" t="s">
        <v>209</v>
      </c>
      <c r="B9" s="164" t="s">
        <v>210</v>
      </c>
      <c r="C9" s="216" t="str">
        <f t="shared" ref="C9:C12" si="0">+D9</f>
        <v>------------------</v>
      </c>
      <c r="D9" s="190" t="s">
        <v>211</v>
      </c>
      <c r="E9" s="217" t="s">
        <v>211</v>
      </c>
      <c r="F9" s="161" t="s">
        <v>211</v>
      </c>
      <c r="G9" s="215">
        <f>+'GAS CTE'!D10</f>
        <v>491.63400000000001</v>
      </c>
      <c r="H9" s="241">
        <f>+BIODIESEL!G10</f>
        <v>470.57</v>
      </c>
    </row>
    <row r="10" spans="1:8" x14ac:dyDescent="0.25">
      <c r="A10" s="158"/>
      <c r="B10" s="164" t="s">
        <v>138</v>
      </c>
      <c r="C10" s="216" t="str">
        <f>+D10</f>
        <v>------------------</v>
      </c>
      <c r="D10" s="190" t="s">
        <v>211</v>
      </c>
      <c r="E10" s="217" t="s">
        <v>211</v>
      </c>
      <c r="F10" s="161" t="s">
        <v>211</v>
      </c>
      <c r="G10" s="231" t="str">
        <f>+COMBUSTIBLES!B12</f>
        <v>(3)</v>
      </c>
      <c r="H10" s="241" t="str">
        <f>+BIODIESEL!G11</f>
        <v>(3)</v>
      </c>
    </row>
    <row r="11" spans="1:8" x14ac:dyDescent="0.25">
      <c r="A11" s="158"/>
      <c r="B11" s="164" t="s">
        <v>140</v>
      </c>
      <c r="C11" s="216">
        <f>+'GAS CTE'!C12</f>
        <v>155</v>
      </c>
      <c r="D11" s="190">
        <f>+'GAS CTE'!D12</f>
        <v>139.5</v>
      </c>
      <c r="E11" s="217">
        <f>+BIODIESEL!E12</f>
        <v>170.52</v>
      </c>
      <c r="F11" s="161">
        <f>+BIODIESEL!G12</f>
        <v>156.6</v>
      </c>
      <c r="G11" s="215">
        <f>+D11</f>
        <v>139.5</v>
      </c>
      <c r="H11" s="237">
        <f>+F11</f>
        <v>156.6</v>
      </c>
    </row>
    <row r="12" spans="1:8" x14ac:dyDescent="0.25">
      <c r="A12" s="158" t="s">
        <v>212</v>
      </c>
      <c r="B12" s="164" t="s">
        <v>349</v>
      </c>
      <c r="C12" s="216" t="str">
        <f t="shared" si="0"/>
        <v>(2)</v>
      </c>
      <c r="D12" s="189" t="s">
        <v>240</v>
      </c>
      <c r="E12" s="162" t="s">
        <v>240</v>
      </c>
      <c r="F12" s="161" t="s">
        <v>240</v>
      </c>
      <c r="G12" s="215" t="str">
        <f>+F12</f>
        <v>(2)</v>
      </c>
      <c r="H12" s="240" t="s">
        <v>240</v>
      </c>
    </row>
    <row r="13" spans="1:8" x14ac:dyDescent="0.25">
      <c r="A13" s="158" t="s">
        <v>214</v>
      </c>
      <c r="B13" s="164" t="s">
        <v>215</v>
      </c>
      <c r="C13" s="216">
        <f>+RUBROS!W14</f>
        <v>10.13543305493382</v>
      </c>
      <c r="D13" s="189">
        <f>+C13</f>
        <v>10.13543305493382</v>
      </c>
      <c r="E13" s="162">
        <f>+D13</f>
        <v>10.13543305493382</v>
      </c>
      <c r="F13" s="161">
        <f>+E13</f>
        <v>10.13543305493382</v>
      </c>
      <c r="G13" s="215">
        <f>+RUBROS!X14</f>
        <v>21.906900579364827</v>
      </c>
      <c r="H13" s="240">
        <f>+G13</f>
        <v>21.906900579364827</v>
      </c>
    </row>
    <row r="14" spans="1:8" x14ac:dyDescent="0.25">
      <c r="A14" s="158" t="s">
        <v>216</v>
      </c>
      <c r="B14" s="164" t="s">
        <v>217</v>
      </c>
      <c r="C14" s="216">
        <f>+RUBROS!W50</f>
        <v>104.89393330283374</v>
      </c>
      <c r="D14" s="189">
        <f>+C14</f>
        <v>104.89393330283374</v>
      </c>
      <c r="E14" s="162">
        <f>+C14</f>
        <v>104.89393330283374</v>
      </c>
      <c r="F14" s="161">
        <f>+C14</f>
        <v>104.89393330283374</v>
      </c>
      <c r="G14" s="215">
        <f>+RUBROS!X50</f>
        <v>104.89393330283374</v>
      </c>
      <c r="H14" s="240">
        <f>+G14</f>
        <v>104.89393330283374</v>
      </c>
    </row>
    <row r="15" spans="1:8" x14ac:dyDescent="0.25">
      <c r="A15" s="158" t="s">
        <v>218</v>
      </c>
      <c r="B15" s="235" t="s">
        <v>219</v>
      </c>
      <c r="C15" s="216">
        <f>+RUBROS!AK28</f>
        <v>12.561430159485083</v>
      </c>
      <c r="D15" s="189">
        <f>+C15</f>
        <v>12.561430159485083</v>
      </c>
      <c r="E15" s="218">
        <f>+C15</f>
        <v>12.561430159485083</v>
      </c>
      <c r="F15" s="161">
        <f>+C15</f>
        <v>12.561430159485083</v>
      </c>
      <c r="G15" s="215">
        <f>+C15</f>
        <v>12.561430159485083</v>
      </c>
      <c r="H15" s="240">
        <f>+G15</f>
        <v>12.561430159485083</v>
      </c>
    </row>
    <row r="16" spans="1:8" x14ac:dyDescent="0.25">
      <c r="A16" s="158"/>
      <c r="B16" s="164" t="s">
        <v>220</v>
      </c>
      <c r="C16" s="216">
        <f>+'GAS CTE'!C16</f>
        <v>71.510000000000005</v>
      </c>
      <c r="D16" s="363">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 t="shared" ref="C17:H17" si="1">SUM(C8:C16)</f>
        <v>4251.157606517253</v>
      </c>
      <c r="D17" s="364">
        <f t="shared" si="1"/>
        <v>4670.9819255172533</v>
      </c>
      <c r="E17" s="222">
        <f t="shared" si="1"/>
        <v>4395.8454083172537</v>
      </c>
      <c r="F17" s="223">
        <f t="shared" si="1"/>
        <v>5210.887215517253</v>
      </c>
      <c r="G17" s="224">
        <f t="shared" si="1"/>
        <v>5316.7262640416839</v>
      </c>
      <c r="H17" s="243">
        <f t="shared" si="1"/>
        <v>6104.6322640416838</v>
      </c>
    </row>
    <row r="18" spans="1:16" x14ac:dyDescent="0.25">
      <c r="A18" s="158" t="s">
        <v>223</v>
      </c>
      <c r="B18" s="164" t="s">
        <v>224</v>
      </c>
      <c r="C18" s="216" t="s">
        <v>255</v>
      </c>
      <c r="D18" s="365" t="str">
        <f>+C18</f>
        <v>***</v>
      </c>
      <c r="E18" s="225" t="str">
        <f>+C18</f>
        <v>***</v>
      </c>
      <c r="F18" s="161" t="str">
        <f>+C18</f>
        <v>***</v>
      </c>
      <c r="G18" s="218" t="str">
        <f>+H18</f>
        <v>***</v>
      </c>
      <c r="H18" s="244" t="s">
        <v>255</v>
      </c>
    </row>
    <row r="19" spans="1:16" x14ac:dyDescent="0.25">
      <c r="A19" s="158" t="s">
        <v>225</v>
      </c>
      <c r="B19" s="164" t="s">
        <v>226</v>
      </c>
      <c r="C19" s="216" t="str">
        <f>+D19</f>
        <v>**</v>
      </c>
      <c r="D19" s="195" t="s">
        <v>253</v>
      </c>
      <c r="E19" s="226" t="s">
        <v>253</v>
      </c>
      <c r="F19" s="161" t="s">
        <v>253</v>
      </c>
      <c r="G19" s="218" t="str">
        <f>+H19</f>
        <v>**</v>
      </c>
      <c r="H19" s="237" t="s">
        <v>253</v>
      </c>
    </row>
    <row r="20" spans="1:16" x14ac:dyDescent="0.25">
      <c r="A20" s="158" t="s">
        <v>227</v>
      </c>
      <c r="B20" s="164" t="s">
        <v>228</v>
      </c>
      <c r="C20" s="216" t="str">
        <f>+D20</f>
        <v>****</v>
      </c>
      <c r="D20" s="189" t="s">
        <v>257</v>
      </c>
      <c r="E20" s="162" t="str">
        <f>+D20</f>
        <v>****</v>
      </c>
      <c r="F20" s="161" t="str">
        <f>+E20</f>
        <v>****</v>
      </c>
      <c r="G20" s="218" t="str">
        <f>+F20</f>
        <v>****</v>
      </c>
      <c r="H20" s="240" t="str">
        <f>+F20</f>
        <v>****</v>
      </c>
    </row>
    <row r="21" spans="1:16" x14ac:dyDescent="0.25">
      <c r="A21" s="165" t="s">
        <v>229</v>
      </c>
      <c r="B21" s="196" t="s">
        <v>230</v>
      </c>
      <c r="C21" s="221">
        <f t="shared" ref="C21:H21" si="2">+C17</f>
        <v>4251.157606517253</v>
      </c>
      <c r="D21" s="366">
        <f t="shared" si="2"/>
        <v>4670.9819255172533</v>
      </c>
      <c r="E21" s="221">
        <f t="shared" si="2"/>
        <v>4395.8454083172537</v>
      </c>
      <c r="F21" s="239">
        <f t="shared" si="2"/>
        <v>5210.887215517253</v>
      </c>
      <c r="G21" s="221">
        <f t="shared" si="2"/>
        <v>5316.7262640416839</v>
      </c>
      <c r="H21" s="239">
        <f t="shared" si="2"/>
        <v>6104.6322640416838</v>
      </c>
    </row>
    <row r="22" spans="1:16" x14ac:dyDescent="0.25">
      <c r="A22" s="158" t="s">
        <v>231</v>
      </c>
      <c r="B22" s="164" t="s">
        <v>176</v>
      </c>
      <c r="C22" s="216" t="s">
        <v>255</v>
      </c>
      <c r="D22" s="189" t="str">
        <f>+C22</f>
        <v>***</v>
      </c>
      <c r="E22" s="162" t="str">
        <f>+D22</f>
        <v>***</v>
      </c>
      <c r="F22" s="161" t="str">
        <f>+E22</f>
        <v>***</v>
      </c>
      <c r="G22" s="218" t="str">
        <f>+H22</f>
        <v>***</v>
      </c>
      <c r="H22" s="240" t="s">
        <v>255</v>
      </c>
    </row>
    <row r="23" spans="1:16" x14ac:dyDescent="0.25">
      <c r="A23" s="158" t="s">
        <v>232</v>
      </c>
      <c r="B23" s="159" t="s">
        <v>233</v>
      </c>
      <c r="C23" s="216" t="str">
        <f>+D23</f>
        <v>*****</v>
      </c>
      <c r="D23" s="189" t="s">
        <v>259</v>
      </c>
      <c r="E23" s="162" t="s">
        <v>279</v>
      </c>
      <c r="F23" s="161" t="s">
        <v>234</v>
      </c>
      <c r="G23" s="218" t="str">
        <f>+D23</f>
        <v>*****</v>
      </c>
      <c r="H23" s="240" t="s">
        <v>280</v>
      </c>
    </row>
    <row r="24" spans="1:16" x14ac:dyDescent="0.25">
      <c r="A24" s="158" t="s">
        <v>235</v>
      </c>
      <c r="B24" s="164" t="s">
        <v>236</v>
      </c>
      <c r="C24" s="216" t="str">
        <f>+D24</f>
        <v>******</v>
      </c>
      <c r="D24" s="226"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1" t="str">
        <f>+AMAZONAS!B29</f>
        <v>De acuerdo con lo establecido en la Resolución MME 91349 de 2014</v>
      </c>
      <c r="C29" s="571"/>
      <c r="D29" s="571"/>
      <c r="E29" s="571"/>
      <c r="F29" s="571"/>
      <c r="G29" s="571"/>
      <c r="H29" s="571"/>
      <c r="I29" s="571"/>
      <c r="J29" s="571"/>
      <c r="K29" s="233"/>
      <c r="L29" s="233"/>
      <c r="M29" s="233"/>
      <c r="N29" s="233"/>
      <c r="O29" s="233"/>
      <c r="P29" s="233"/>
    </row>
    <row r="30" spans="1:16" ht="25.5" customHeight="1" x14ac:dyDescent="0.25">
      <c r="A30" s="177" t="s">
        <v>240</v>
      </c>
      <c r="B30" s="571" t="s">
        <v>297</v>
      </c>
      <c r="C30" s="571"/>
      <c r="D30" s="571"/>
      <c r="E30" s="571"/>
      <c r="F30" s="571"/>
      <c r="G30" s="571"/>
      <c r="H30" s="571"/>
      <c r="I30" s="571"/>
      <c r="J30" s="571"/>
      <c r="K30" s="211"/>
      <c r="L30" s="211"/>
      <c r="M30" s="211"/>
      <c r="N30" s="211"/>
      <c r="O30" s="211"/>
      <c r="P30" s="211"/>
    </row>
    <row r="31" spans="1:16" ht="51.75" customHeight="1" x14ac:dyDescent="0.25">
      <c r="A31" s="177" t="s">
        <v>139</v>
      </c>
      <c r="B31" s="571" t="s">
        <v>365</v>
      </c>
      <c r="C31" s="571"/>
      <c r="D31" s="571"/>
      <c r="E31" s="571"/>
      <c r="F31" s="571"/>
      <c r="G31" s="571"/>
      <c r="H31" s="571"/>
      <c r="I31" s="571"/>
      <c r="J31" s="571"/>
      <c r="K31" s="211"/>
      <c r="L31" s="211"/>
      <c r="M31" s="211"/>
      <c r="N31" s="211"/>
      <c r="O31" s="211"/>
      <c r="P31" s="211"/>
    </row>
    <row r="32" spans="1:16" x14ac:dyDescent="0.25">
      <c r="A32" s="177"/>
      <c r="B32" s="200"/>
      <c r="C32" s="232"/>
      <c r="D32" s="232"/>
      <c r="E32" s="232"/>
      <c r="F32" s="232"/>
      <c r="G32" s="211"/>
      <c r="H32" s="211"/>
      <c r="I32" s="211"/>
      <c r="J32" s="211"/>
      <c r="K32" s="211"/>
      <c r="L32" s="211"/>
      <c r="M32" s="211"/>
      <c r="N32" s="211"/>
      <c r="O32" s="211"/>
      <c r="P32" s="211"/>
    </row>
    <row r="33" spans="1:16" ht="15" customHeight="1" x14ac:dyDescent="0.25">
      <c r="A33" s="201" t="s">
        <v>104</v>
      </c>
      <c r="B33" s="569" t="s">
        <v>252</v>
      </c>
      <c r="C33" s="569"/>
      <c r="D33" s="569"/>
      <c r="E33" s="569"/>
      <c r="F33" s="569"/>
      <c r="G33" s="569"/>
      <c r="H33" s="569"/>
      <c r="I33" s="569"/>
      <c r="J33" s="569"/>
      <c r="K33" s="211"/>
      <c r="L33" s="211"/>
      <c r="M33" s="211"/>
      <c r="N33" s="211"/>
      <c r="O33" s="211"/>
      <c r="P33" s="211"/>
    </row>
    <row r="34" spans="1:16" ht="15" customHeight="1" x14ac:dyDescent="0.25">
      <c r="A34" s="201" t="s">
        <v>253</v>
      </c>
      <c r="B34" s="571" t="s">
        <v>283</v>
      </c>
      <c r="C34" s="571"/>
      <c r="D34" s="571"/>
      <c r="E34" s="571"/>
      <c r="F34" s="571"/>
      <c r="G34" s="571"/>
      <c r="H34" s="571"/>
      <c r="I34" s="571"/>
      <c r="J34" s="571"/>
      <c r="K34" s="211"/>
      <c r="L34" s="211"/>
      <c r="M34" s="211"/>
      <c r="N34" s="211"/>
      <c r="O34" s="211"/>
      <c r="P34" s="211"/>
    </row>
    <row r="35" spans="1:16" ht="15" customHeight="1" x14ac:dyDescent="0.25">
      <c r="A35" s="177" t="s">
        <v>255</v>
      </c>
      <c r="B35" s="571" t="s">
        <v>256</v>
      </c>
      <c r="C35" s="571"/>
      <c r="D35" s="571"/>
      <c r="E35" s="571"/>
      <c r="F35" s="571"/>
      <c r="G35" s="571"/>
      <c r="H35" s="571"/>
      <c r="I35" s="177"/>
      <c r="J35" s="569"/>
      <c r="K35" s="569"/>
      <c r="L35" s="569"/>
      <c r="M35" s="569"/>
      <c r="N35" s="569"/>
      <c r="O35" s="569"/>
      <c r="P35" s="569"/>
    </row>
    <row r="36" spans="1:16" ht="15" customHeight="1" x14ac:dyDescent="0.25">
      <c r="A36" s="177" t="s">
        <v>257</v>
      </c>
      <c r="B36" s="569" t="s">
        <v>260</v>
      </c>
      <c r="C36" s="569"/>
      <c r="D36" s="569"/>
      <c r="E36" s="569"/>
      <c r="F36" s="569"/>
      <c r="G36" s="569"/>
      <c r="H36" s="569"/>
      <c r="I36" s="177"/>
      <c r="J36" s="178"/>
      <c r="K36" s="178"/>
      <c r="L36" s="178"/>
      <c r="M36" s="178"/>
      <c r="N36" s="178"/>
      <c r="O36" s="178"/>
      <c r="P36" s="178"/>
    </row>
    <row r="37" spans="1:16" ht="24" customHeight="1" x14ac:dyDescent="0.25">
      <c r="A37" s="201" t="s">
        <v>259</v>
      </c>
      <c r="B37" s="571" t="s">
        <v>262</v>
      </c>
      <c r="C37" s="571"/>
      <c r="D37" s="571"/>
      <c r="E37" s="571"/>
      <c r="F37" s="571"/>
      <c r="G37" s="571"/>
      <c r="H37" s="571"/>
      <c r="I37" s="571"/>
      <c r="J37" s="571"/>
      <c r="K37" s="211"/>
      <c r="L37" s="211"/>
      <c r="M37" s="211"/>
      <c r="N37" s="211"/>
      <c r="O37" s="211"/>
      <c r="P37" s="211"/>
    </row>
    <row r="38" spans="1:16" ht="26.25" customHeight="1" x14ac:dyDescent="0.25">
      <c r="A38" s="201" t="s">
        <v>261</v>
      </c>
      <c r="B38" s="571" t="s">
        <v>281</v>
      </c>
      <c r="C38" s="571"/>
      <c r="D38" s="571"/>
      <c r="E38" s="571"/>
      <c r="F38" s="571"/>
      <c r="G38" s="571"/>
      <c r="H38" s="571"/>
      <c r="I38" s="571"/>
      <c r="J38" s="571"/>
      <c r="K38" s="211"/>
      <c r="L38" s="211"/>
      <c r="M38" s="211"/>
      <c r="N38" s="211"/>
      <c r="O38" s="211"/>
      <c r="P38" s="211"/>
    </row>
    <row r="40" spans="1:16" ht="87.75" customHeight="1" x14ac:dyDescent="0.25">
      <c r="A40" s="573" t="s">
        <v>163</v>
      </c>
      <c r="B40" s="573"/>
      <c r="C40" s="573"/>
      <c r="D40" s="573"/>
      <c r="E40" s="573"/>
      <c r="F40" s="573"/>
      <c r="G40" s="573"/>
      <c r="H40" s="573"/>
      <c r="I40" s="573"/>
      <c r="J40" s="573"/>
    </row>
  </sheetData>
  <sheetProtection password="C712" sheet="1" objects="1" scenarios="1"/>
  <mergeCells count="16">
    <mergeCell ref="B31:J31"/>
    <mergeCell ref="B29:J29"/>
    <mergeCell ref="B36:H36"/>
    <mergeCell ref="A40:J40"/>
    <mergeCell ref="B33:J33"/>
    <mergeCell ref="B34:J34"/>
    <mergeCell ref="B37:J37"/>
    <mergeCell ref="B38:J38"/>
    <mergeCell ref="B35:H35"/>
    <mergeCell ref="J35:P35"/>
    <mergeCell ref="B30:J30"/>
    <mergeCell ref="C3:F4"/>
    <mergeCell ref="G3:H4"/>
    <mergeCell ref="A5:A7"/>
    <mergeCell ref="B5:B7"/>
    <mergeCell ref="C5:C6"/>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tabSelected="1" zoomScale="84" zoomScaleNormal="84" workbookViewId="0">
      <selection activeCell="G8" sqref="G8"/>
    </sheetView>
  </sheetViews>
  <sheetFormatPr baseColWidth="10" defaultRowHeight="15" x14ac:dyDescent="0.25"/>
  <cols>
    <col min="1" max="1" width="6.140625" customWidth="1"/>
    <col min="2" max="2" width="57.42578125" customWidth="1"/>
    <col min="3" max="8" width="12.85546875" customWidth="1"/>
  </cols>
  <sheetData>
    <row r="1" spans="1:8" x14ac:dyDescent="0.25">
      <c r="A1" s="153"/>
      <c r="B1" s="154" t="str">
        <f>+AMAZONAS!C1</f>
        <v>Vigencia: 16 de Diciembre de 2020; 00:00 horas</v>
      </c>
      <c r="C1" s="154"/>
      <c r="D1" s="154"/>
      <c r="E1" s="154"/>
      <c r="F1" s="154"/>
      <c r="G1" s="154"/>
      <c r="H1" s="154"/>
    </row>
    <row r="2" spans="1:8" ht="15.75" thickBot="1" x14ac:dyDescent="0.3">
      <c r="A2" s="246" t="s">
        <v>202</v>
      </c>
      <c r="B2" s="247"/>
      <c r="C2" s="247"/>
      <c r="D2" s="247"/>
      <c r="E2" s="247"/>
      <c r="F2" s="247"/>
      <c r="G2" s="247"/>
      <c r="H2" s="247"/>
    </row>
    <row r="3" spans="1:8" ht="15.75" customHeight="1" thickTop="1" x14ac:dyDescent="0.25">
      <c r="A3" s="212"/>
      <c r="B3" s="183" t="s">
        <v>284</v>
      </c>
      <c r="C3" s="574" t="s">
        <v>203</v>
      </c>
      <c r="D3" s="575"/>
      <c r="E3" s="575"/>
      <c r="F3" s="576"/>
      <c r="G3" s="584" t="s">
        <v>275</v>
      </c>
      <c r="H3" s="585"/>
    </row>
    <row r="4" spans="1:8" x14ac:dyDescent="0.25">
      <c r="A4" s="155"/>
      <c r="B4" s="185" t="s">
        <v>285</v>
      </c>
      <c r="C4" s="577"/>
      <c r="D4" s="578"/>
      <c r="E4" s="578"/>
      <c r="F4" s="579"/>
      <c r="G4" s="586"/>
      <c r="H4" s="587"/>
    </row>
    <row r="5" spans="1:8" ht="38.25" x14ac:dyDescent="0.25">
      <c r="A5" s="562" t="s">
        <v>204</v>
      </c>
      <c r="B5" s="564" t="s">
        <v>205</v>
      </c>
      <c r="C5" s="566" t="s">
        <v>266</v>
      </c>
      <c r="D5" s="186" t="s">
        <v>97</v>
      </c>
      <c r="E5" s="186" t="s">
        <v>194</v>
      </c>
      <c r="F5" s="186" t="str">
        <f>+AMAZONAS!F5</f>
        <v>Biodiesel B10</v>
      </c>
      <c r="G5" s="186" t="s">
        <v>97</v>
      </c>
      <c r="H5" s="157" t="str">
        <f>+F5</f>
        <v>Biodiesel B10</v>
      </c>
    </row>
    <row r="6" spans="1:8" x14ac:dyDescent="0.25">
      <c r="A6" s="562"/>
      <c r="B6" s="564"/>
      <c r="C6" s="567"/>
      <c r="D6" s="187">
        <v>0.08</v>
      </c>
      <c r="E6" s="205">
        <v>0.02</v>
      </c>
      <c r="F6" s="431">
        <f>+AMAZONAS!F6</f>
        <v>0.1</v>
      </c>
      <c r="G6" s="205">
        <v>0.1</v>
      </c>
      <c r="H6" s="188">
        <f>+F6</f>
        <v>0.1</v>
      </c>
    </row>
    <row r="7" spans="1:8" x14ac:dyDescent="0.25">
      <c r="A7" s="563"/>
      <c r="B7" s="565"/>
      <c r="C7" s="156" t="s">
        <v>206</v>
      </c>
      <c r="D7" s="186" t="s">
        <v>206</v>
      </c>
      <c r="E7" s="186" t="s">
        <v>206</v>
      </c>
      <c r="F7" s="186" t="s">
        <v>206</v>
      </c>
      <c r="G7" s="156" t="s">
        <v>206</v>
      </c>
      <c r="H7" s="157" t="s">
        <v>206</v>
      </c>
    </row>
    <row r="8" spans="1:8" x14ac:dyDescent="0.25">
      <c r="A8" s="158" t="s">
        <v>207</v>
      </c>
      <c r="B8" s="164" t="s">
        <v>208</v>
      </c>
      <c r="C8" s="230">
        <f>+'Calculo IP ZDF'!B27</f>
        <v>4055.21</v>
      </c>
      <c r="D8" s="236">
        <f>+'Calculo IP ZDF'!G27</f>
        <v>4474.7190000000001</v>
      </c>
      <c r="E8" s="238">
        <f>+'Calculo IP ZDF'!F27</f>
        <v>4251.6777081999999</v>
      </c>
      <c r="F8" s="237">
        <f>+'Calculo IP ZDF'!H27</f>
        <v>5062.235181</v>
      </c>
      <c r="G8" s="215">
        <f>+'GAS CTE'!D9</f>
        <v>4474.72</v>
      </c>
      <c r="H8" s="240">
        <f>+BIODIESEL!G9</f>
        <v>5266.59</v>
      </c>
    </row>
    <row r="9" spans="1:8" x14ac:dyDescent="0.25">
      <c r="A9" s="158" t="s">
        <v>209</v>
      </c>
      <c r="B9" s="164" t="s">
        <v>210</v>
      </c>
      <c r="C9" s="216" t="str">
        <f t="shared" ref="C9:C13"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f>+'GAS CTE'!C12</f>
        <v>155</v>
      </c>
      <c r="D11" s="217">
        <f>+'GAS CTE'!D12</f>
        <v>139.5</v>
      </c>
      <c r="E11" s="217">
        <f>+BIODIESEL!E12</f>
        <v>170.52</v>
      </c>
      <c r="F11" s="161">
        <f>+BIODIESEL!G12</f>
        <v>156.6</v>
      </c>
      <c r="G11" s="215">
        <f>+D11</f>
        <v>139.5</v>
      </c>
      <c r="H11" s="237">
        <f>+F11</f>
        <v>156.6</v>
      </c>
    </row>
    <row r="12" spans="1:8" x14ac:dyDescent="0.25">
      <c r="A12" s="158" t="s">
        <v>212</v>
      </c>
      <c r="B12" s="164" t="s">
        <v>276</v>
      </c>
      <c r="C12" s="216" t="str">
        <f t="shared" si="0"/>
        <v>(2)</v>
      </c>
      <c r="D12" s="162" t="s">
        <v>240</v>
      </c>
      <c r="E12" s="162" t="s">
        <v>240</v>
      </c>
      <c r="F12" s="161" t="s">
        <v>240</v>
      </c>
      <c r="G12" s="215" t="str">
        <f>+F12</f>
        <v>(2)</v>
      </c>
      <c r="H12" s="240" t="s">
        <v>240</v>
      </c>
    </row>
    <row r="13" spans="1:8" x14ac:dyDescent="0.25">
      <c r="A13" s="158" t="s">
        <v>277</v>
      </c>
      <c r="B13" s="164" t="s">
        <v>278</v>
      </c>
      <c r="C13" s="216" t="str">
        <f t="shared" si="0"/>
        <v>N.A.</v>
      </c>
      <c r="D13" s="162" t="s">
        <v>279</v>
      </c>
      <c r="E13" s="217" t="s">
        <v>241</v>
      </c>
      <c r="F13" s="163" t="str">
        <f>+E13</f>
        <v>(4)</v>
      </c>
      <c r="G13" s="215" t="s">
        <v>279</v>
      </c>
      <c r="H13" s="237" t="str">
        <f>+F13</f>
        <v>(4)</v>
      </c>
    </row>
    <row r="14" spans="1:8" x14ac:dyDescent="0.25">
      <c r="A14" s="158" t="s">
        <v>214</v>
      </c>
      <c r="B14" s="164" t="s">
        <v>215</v>
      </c>
      <c r="C14" s="216">
        <f>+RUBROS!W15</f>
        <v>21.906900579364827</v>
      </c>
      <c r="D14" s="162">
        <f>+C14</f>
        <v>21.906900579364827</v>
      </c>
      <c r="E14" s="162">
        <f>+D14</f>
        <v>21.906900579364827</v>
      </c>
      <c r="F14" s="161">
        <f>+E14</f>
        <v>21.906900579364827</v>
      </c>
      <c r="G14" s="215">
        <f>+RUBROS!X14</f>
        <v>21.906900579364827</v>
      </c>
      <c r="H14" s="240">
        <f>+G14</f>
        <v>21.906900579364827</v>
      </c>
    </row>
    <row r="15" spans="1:8" x14ac:dyDescent="0.25">
      <c r="A15" s="158" t="s">
        <v>218</v>
      </c>
      <c r="B15" s="235" t="s">
        <v>219</v>
      </c>
      <c r="C15" s="216">
        <f>+RUBROS!AK29</f>
        <v>12.561430159485083</v>
      </c>
      <c r="D15" s="162">
        <f>+C15</f>
        <v>12.561430159485083</v>
      </c>
      <c r="E15" s="218">
        <f>+C15</f>
        <v>12.561430159485083</v>
      </c>
      <c r="F15" s="161">
        <f>+C15</f>
        <v>12.561430159485083</v>
      </c>
      <c r="G15" s="215">
        <f>+C15</f>
        <v>12.561430159485083</v>
      </c>
      <c r="H15" s="240">
        <f>+G15</f>
        <v>12.561430159485083</v>
      </c>
    </row>
    <row r="16" spans="1:8" x14ac:dyDescent="0.25">
      <c r="A16" s="158"/>
      <c r="B16" s="164" t="s">
        <v>220</v>
      </c>
      <c r="C16" s="216">
        <f>+'GAS CTE'!C16</f>
        <v>71.510000000000005</v>
      </c>
      <c r="D16" s="219">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 t="shared" ref="C17:H17" si="1">SUM(C8:C16)</f>
        <v>4316.1883307388498</v>
      </c>
      <c r="D17" s="222">
        <f t="shared" si="1"/>
        <v>4720.1973307388498</v>
      </c>
      <c r="E17" s="222">
        <f t="shared" si="1"/>
        <v>4528.1760389388501</v>
      </c>
      <c r="F17" s="223">
        <f t="shared" si="1"/>
        <v>5324.8135117388501</v>
      </c>
      <c r="G17" s="224">
        <f t="shared" si="1"/>
        <v>5211.83233073885</v>
      </c>
      <c r="H17" s="243">
        <f t="shared" si="1"/>
        <v>5999.73833073885</v>
      </c>
    </row>
    <row r="18" spans="1:16" x14ac:dyDescent="0.25">
      <c r="A18" s="158" t="s">
        <v>223</v>
      </c>
      <c r="B18" s="164" t="s">
        <v>224</v>
      </c>
      <c r="C18" s="216" t="s">
        <v>255</v>
      </c>
      <c r="D18" s="225" t="str">
        <f>+C18</f>
        <v>***</v>
      </c>
      <c r="E18" s="225" t="str">
        <f>+C18</f>
        <v>***</v>
      </c>
      <c r="F18" s="161" t="str">
        <f>+C18</f>
        <v>***</v>
      </c>
      <c r="G18" s="218" t="str">
        <f>+H18</f>
        <v>***</v>
      </c>
      <c r="H18" s="244" t="s">
        <v>255</v>
      </c>
    </row>
    <row r="19" spans="1:16" x14ac:dyDescent="0.25">
      <c r="A19" s="158" t="s">
        <v>225</v>
      </c>
      <c r="B19" s="164" t="s">
        <v>226</v>
      </c>
      <c r="C19" s="216" t="str">
        <f>+D19</f>
        <v>**</v>
      </c>
      <c r="D19" s="226" t="s">
        <v>253</v>
      </c>
      <c r="E19" s="226" t="s">
        <v>253</v>
      </c>
      <c r="F19" s="161" t="s">
        <v>253</v>
      </c>
      <c r="G19" s="218" t="str">
        <f>+H19</f>
        <v>**</v>
      </c>
      <c r="H19" s="237" t="s">
        <v>253</v>
      </c>
    </row>
    <row r="20" spans="1:16" x14ac:dyDescent="0.25">
      <c r="A20" s="158" t="s">
        <v>227</v>
      </c>
      <c r="B20" s="164" t="s">
        <v>228</v>
      </c>
      <c r="C20" s="216" t="str">
        <f>+D20</f>
        <v>****</v>
      </c>
      <c r="D20" s="162" t="s">
        <v>257</v>
      </c>
      <c r="E20" s="162" t="str">
        <f>+D20</f>
        <v>****</v>
      </c>
      <c r="F20" s="161" t="str">
        <f>+E20</f>
        <v>****</v>
      </c>
      <c r="G20" s="218" t="str">
        <f>+F20</f>
        <v>****</v>
      </c>
      <c r="H20" s="240" t="str">
        <f>+F20</f>
        <v>****</v>
      </c>
    </row>
    <row r="21" spans="1:16" x14ac:dyDescent="0.25">
      <c r="A21" s="165" t="s">
        <v>229</v>
      </c>
      <c r="B21" s="196" t="s">
        <v>230</v>
      </c>
      <c r="C21" s="221">
        <f t="shared" ref="C21:H21" si="2">+C17</f>
        <v>4316.1883307388498</v>
      </c>
      <c r="D21" s="221">
        <f t="shared" si="2"/>
        <v>4720.1973307388498</v>
      </c>
      <c r="E21" s="221">
        <f t="shared" si="2"/>
        <v>4528.1760389388501</v>
      </c>
      <c r="F21" s="239">
        <f t="shared" si="2"/>
        <v>5324.8135117388501</v>
      </c>
      <c r="G21" s="221">
        <f t="shared" si="2"/>
        <v>5211.83233073885</v>
      </c>
      <c r="H21" s="239">
        <f t="shared" si="2"/>
        <v>5999.73833073885</v>
      </c>
    </row>
    <row r="22" spans="1:16" x14ac:dyDescent="0.25">
      <c r="A22" s="158" t="s">
        <v>231</v>
      </c>
      <c r="B22" s="164" t="s">
        <v>176</v>
      </c>
      <c r="C22" s="216" t="s">
        <v>255</v>
      </c>
      <c r="D22" s="162" t="str">
        <f>+C22</f>
        <v>***</v>
      </c>
      <c r="E22" s="162" t="str">
        <f>+D22</f>
        <v>***</v>
      </c>
      <c r="F22" s="161" t="str">
        <f>+E22</f>
        <v>***</v>
      </c>
      <c r="G22" s="218" t="str">
        <f>+H22</f>
        <v>***</v>
      </c>
      <c r="H22" s="240" t="s">
        <v>255</v>
      </c>
    </row>
    <row r="23" spans="1:16" x14ac:dyDescent="0.25">
      <c r="A23" s="158" t="s">
        <v>232</v>
      </c>
      <c r="B23" s="159" t="s">
        <v>233</v>
      </c>
      <c r="C23" s="216" t="str">
        <f>+D23</f>
        <v>*****</v>
      </c>
      <c r="D23" s="162" t="s">
        <v>259</v>
      </c>
      <c r="E23" s="162" t="s">
        <v>279</v>
      </c>
      <c r="F23" s="161" t="s">
        <v>234</v>
      </c>
      <c r="G23" s="218" t="str">
        <f>+D23</f>
        <v>*****</v>
      </c>
      <c r="H23" s="240" t="s">
        <v>280</v>
      </c>
    </row>
    <row r="24" spans="1:16" x14ac:dyDescent="0.25">
      <c r="A24" s="158" t="s">
        <v>235</v>
      </c>
      <c r="B24" s="164" t="s">
        <v>236</v>
      </c>
      <c r="C24" s="216" t="str">
        <f>+D24</f>
        <v>******</v>
      </c>
      <c r="D24" s="226"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x14ac:dyDescent="0.25">
      <c r="A29" s="177" t="s">
        <v>213</v>
      </c>
      <c r="B29" s="571" t="str">
        <f>+ARAUCA!B29</f>
        <v>De acuerdo con lo establecido en la Resolución MME 91349 de 2014</v>
      </c>
      <c r="C29" s="571"/>
      <c r="D29" s="571"/>
      <c r="E29" s="571"/>
      <c r="F29" s="571"/>
      <c r="G29" s="571"/>
      <c r="H29" s="571"/>
      <c r="I29" s="571"/>
      <c r="J29" s="571"/>
      <c r="K29" s="233"/>
      <c r="L29" s="233"/>
      <c r="M29" s="233"/>
      <c r="N29" s="233"/>
      <c r="O29" s="233"/>
      <c r="P29" s="233"/>
    </row>
    <row r="30" spans="1:16" x14ac:dyDescent="0.25">
      <c r="A30" s="177" t="s">
        <v>240</v>
      </c>
      <c r="B30" s="206" t="s">
        <v>239</v>
      </c>
      <c r="C30" s="232"/>
      <c r="D30" s="232"/>
      <c r="E30" s="232"/>
      <c r="F30" s="232"/>
      <c r="G30" s="211"/>
      <c r="H30" s="211"/>
      <c r="I30" s="211"/>
      <c r="J30" s="211"/>
      <c r="K30" s="211"/>
      <c r="L30" s="211"/>
      <c r="M30" s="211"/>
      <c r="N30" s="211"/>
      <c r="O30" s="211"/>
      <c r="P30" s="211"/>
    </row>
    <row r="31" spans="1:16" ht="53.25" customHeight="1" x14ac:dyDescent="0.25">
      <c r="A31" s="177" t="s">
        <v>139</v>
      </c>
      <c r="B31" s="571" t="s">
        <v>365</v>
      </c>
      <c r="C31" s="571"/>
      <c r="D31" s="571"/>
      <c r="E31" s="571"/>
      <c r="F31" s="571"/>
      <c r="G31" s="571"/>
      <c r="H31" s="571"/>
      <c r="I31" s="571"/>
      <c r="J31" s="571"/>
      <c r="K31" s="211"/>
      <c r="L31" s="211"/>
      <c r="M31" s="211"/>
      <c r="N31" s="211"/>
      <c r="O31" s="211"/>
      <c r="P31" s="211"/>
    </row>
    <row r="32" spans="1:16" ht="24.75" customHeight="1" x14ac:dyDescent="0.25">
      <c r="A32" s="177" t="s">
        <v>241</v>
      </c>
      <c r="B32" s="571" t="s">
        <v>282</v>
      </c>
      <c r="C32" s="571"/>
      <c r="D32" s="571"/>
      <c r="E32" s="571"/>
      <c r="F32" s="571"/>
      <c r="G32" s="571"/>
      <c r="H32" s="571"/>
      <c r="I32" s="571"/>
      <c r="J32" s="571"/>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x14ac:dyDescent="0.25">
      <c r="A34" s="201" t="s">
        <v>104</v>
      </c>
      <c r="B34" s="569" t="s">
        <v>252</v>
      </c>
      <c r="C34" s="569"/>
      <c r="D34" s="569"/>
      <c r="E34" s="569"/>
      <c r="F34" s="569"/>
      <c r="G34" s="569"/>
      <c r="H34" s="569"/>
      <c r="I34" s="569"/>
      <c r="J34" s="569"/>
      <c r="K34" s="211"/>
      <c r="L34" s="211"/>
      <c r="M34" s="211"/>
      <c r="N34" s="211"/>
      <c r="O34" s="211"/>
      <c r="P34" s="211"/>
    </row>
    <row r="35" spans="1:16" x14ac:dyDescent="0.25">
      <c r="A35" s="201" t="s">
        <v>253</v>
      </c>
      <c r="B35" s="571" t="s">
        <v>287</v>
      </c>
      <c r="C35" s="571"/>
      <c r="D35" s="571"/>
      <c r="E35" s="571"/>
      <c r="F35" s="571"/>
      <c r="G35" s="571"/>
      <c r="H35" s="571"/>
      <c r="I35" s="571"/>
      <c r="J35" s="571"/>
      <c r="K35" s="211"/>
      <c r="L35" s="211"/>
      <c r="M35" s="211"/>
      <c r="N35" s="211"/>
      <c r="O35" s="211"/>
      <c r="P35" s="211"/>
    </row>
    <row r="36" spans="1:16" x14ac:dyDescent="0.25">
      <c r="A36" s="177" t="s">
        <v>255</v>
      </c>
      <c r="B36" s="571" t="s">
        <v>256</v>
      </c>
      <c r="C36" s="571"/>
      <c r="D36" s="571"/>
      <c r="E36" s="571"/>
      <c r="F36" s="571"/>
      <c r="G36" s="571"/>
      <c r="H36" s="571"/>
      <c r="I36" s="177"/>
      <c r="J36" s="569"/>
      <c r="K36" s="569"/>
      <c r="L36" s="569"/>
      <c r="M36" s="569"/>
      <c r="N36" s="569"/>
      <c r="O36" s="569"/>
      <c r="P36" s="569"/>
    </row>
    <row r="37" spans="1:16" x14ac:dyDescent="0.25">
      <c r="A37" s="177" t="s">
        <v>257</v>
      </c>
      <c r="B37" s="569" t="s">
        <v>260</v>
      </c>
      <c r="C37" s="569"/>
      <c r="D37" s="569"/>
      <c r="E37" s="569"/>
      <c r="F37" s="569"/>
      <c r="G37" s="569"/>
      <c r="H37" s="569"/>
      <c r="I37" s="177"/>
      <c r="J37" s="206"/>
      <c r="K37" s="206"/>
      <c r="L37" s="206"/>
      <c r="M37" s="206"/>
      <c r="N37" s="206"/>
      <c r="O37" s="206"/>
      <c r="P37" s="206"/>
    </row>
    <row r="38" spans="1:16" x14ac:dyDescent="0.25">
      <c r="A38" s="201" t="s">
        <v>259</v>
      </c>
      <c r="B38" s="571" t="s">
        <v>262</v>
      </c>
      <c r="C38" s="571"/>
      <c r="D38" s="571"/>
      <c r="E38" s="571"/>
      <c r="F38" s="571"/>
      <c r="G38" s="571"/>
      <c r="H38" s="571"/>
      <c r="I38" s="571"/>
      <c r="J38" s="571"/>
      <c r="K38" s="211"/>
      <c r="L38" s="211"/>
      <c r="M38" s="211"/>
      <c r="N38" s="211"/>
      <c r="O38" s="211"/>
      <c r="P38" s="211"/>
    </row>
    <row r="39" spans="1:16" ht="28.5" customHeight="1" x14ac:dyDescent="0.25">
      <c r="A39" s="201" t="s">
        <v>261</v>
      </c>
      <c r="B39" s="571" t="s">
        <v>281</v>
      </c>
      <c r="C39" s="571"/>
      <c r="D39" s="571"/>
      <c r="E39" s="571"/>
      <c r="F39" s="571"/>
      <c r="G39" s="571"/>
      <c r="H39" s="571"/>
      <c r="I39" s="571"/>
      <c r="J39" s="571"/>
      <c r="K39" s="211"/>
      <c r="L39" s="211"/>
      <c r="M39" s="211"/>
      <c r="N39" s="211"/>
      <c r="O39" s="211"/>
      <c r="P39" s="211"/>
    </row>
    <row r="41" spans="1:16" ht="92.25" customHeight="1" x14ac:dyDescent="0.25">
      <c r="A41" s="573" t="s">
        <v>163</v>
      </c>
      <c r="B41" s="573"/>
      <c r="C41" s="573"/>
      <c r="D41" s="573"/>
      <c r="E41" s="573"/>
      <c r="F41" s="573"/>
      <c r="G41" s="573"/>
      <c r="H41" s="573"/>
      <c r="I41" s="573"/>
      <c r="J41" s="573"/>
    </row>
  </sheetData>
  <sheetProtection password="C712"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H8" sqref="H8"/>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68" t="s">
        <v>174</v>
      </c>
      <c r="B1" s="154" t="str">
        <f>+AMAZONAS!C1</f>
        <v>Vigencia: 16 de Diciembre de 2020; 00:00 horas</v>
      </c>
      <c r="C1" s="154"/>
      <c r="D1" s="269"/>
      <c r="E1" s="269"/>
      <c r="F1" s="269"/>
      <c r="G1" s="269"/>
      <c r="H1" s="269"/>
      <c r="I1" s="269"/>
      <c r="J1" s="269"/>
      <c r="K1" s="269"/>
      <c r="L1" s="269"/>
    </row>
    <row r="2" spans="1:12" ht="15.75" thickBot="1" x14ac:dyDescent="0.3">
      <c r="A2" s="180" t="s">
        <v>202</v>
      </c>
      <c r="B2" s="181"/>
      <c r="C2" s="181"/>
      <c r="D2" s="181"/>
      <c r="E2" s="181"/>
      <c r="F2" s="181"/>
      <c r="G2" s="181"/>
      <c r="H2" s="270"/>
      <c r="I2" s="270"/>
      <c r="J2" s="270"/>
      <c r="K2" s="181"/>
      <c r="L2" s="181"/>
    </row>
    <row r="3" spans="1:12" ht="15.75" thickTop="1" x14ac:dyDescent="0.25">
      <c r="A3" s="212"/>
      <c r="B3" s="183" t="s">
        <v>288</v>
      </c>
      <c r="C3" s="554" t="s">
        <v>203</v>
      </c>
      <c r="D3" s="555"/>
      <c r="E3" s="555"/>
      <c r="F3" s="555"/>
      <c r="G3" s="555"/>
      <c r="H3" s="555"/>
      <c r="I3" s="555"/>
      <c r="J3" s="591" t="s">
        <v>275</v>
      </c>
      <c r="K3" s="592"/>
      <c r="L3" s="593"/>
    </row>
    <row r="4" spans="1:12" ht="53.25" x14ac:dyDescent="0.25">
      <c r="A4" s="184"/>
      <c r="B4" s="298" t="s">
        <v>299</v>
      </c>
      <c r="C4" s="556"/>
      <c r="D4" s="557"/>
      <c r="E4" s="557"/>
      <c r="F4" s="557"/>
      <c r="G4" s="557"/>
      <c r="H4" s="557"/>
      <c r="I4" s="557"/>
      <c r="J4" s="594"/>
      <c r="K4" s="595"/>
      <c r="L4" s="596"/>
    </row>
    <row r="5" spans="1:12" ht="38.25" customHeight="1" x14ac:dyDescent="0.25">
      <c r="A5" s="562" t="s">
        <v>204</v>
      </c>
      <c r="B5" s="564" t="s">
        <v>205</v>
      </c>
      <c r="C5" s="566" t="s">
        <v>266</v>
      </c>
      <c r="D5" s="186" t="s">
        <v>97</v>
      </c>
      <c r="E5" s="186" t="s">
        <v>194</v>
      </c>
      <c r="F5" s="186" t="str">
        <f>+BOYACA!F5</f>
        <v>Biodiesel B10</v>
      </c>
      <c r="G5" s="588" t="s">
        <v>440</v>
      </c>
      <c r="H5" s="566" t="s">
        <v>185</v>
      </c>
      <c r="I5" s="271" t="s">
        <v>126</v>
      </c>
      <c r="J5" s="439" t="s">
        <v>97</v>
      </c>
      <c r="K5" s="438" t="str">
        <f>+F5</f>
        <v>Biodiesel B10</v>
      </c>
      <c r="L5" s="438" t="s">
        <v>126</v>
      </c>
    </row>
    <row r="6" spans="1:12" ht="21.75" customHeight="1" x14ac:dyDescent="0.25">
      <c r="A6" s="562"/>
      <c r="B6" s="564"/>
      <c r="C6" s="567"/>
      <c r="D6" s="187">
        <v>0.08</v>
      </c>
      <c r="E6" s="205">
        <v>0.02</v>
      </c>
      <c r="F6" s="431">
        <f>+BOYACA!F6</f>
        <v>0.1</v>
      </c>
      <c r="G6" s="589"/>
      <c r="H6" s="567"/>
      <c r="I6" s="272" t="s">
        <v>289</v>
      </c>
      <c r="J6" s="299">
        <v>0.1</v>
      </c>
      <c r="K6" s="432">
        <f>+F6</f>
        <v>0.1</v>
      </c>
      <c r="L6" s="300" t="s">
        <v>289</v>
      </c>
    </row>
    <row r="7" spans="1:12" x14ac:dyDescent="0.25">
      <c r="A7" s="563"/>
      <c r="B7" s="565"/>
      <c r="C7" s="156" t="s">
        <v>206</v>
      </c>
      <c r="D7" s="186" t="s">
        <v>206</v>
      </c>
      <c r="E7" s="186" t="s">
        <v>206</v>
      </c>
      <c r="F7" s="186" t="s">
        <v>206</v>
      </c>
      <c r="G7" s="186" t="s">
        <v>206</v>
      </c>
      <c r="H7" s="207" t="s">
        <v>206</v>
      </c>
      <c r="I7" s="271" t="s">
        <v>206</v>
      </c>
      <c r="J7" s="439" t="s">
        <v>206</v>
      </c>
      <c r="K7" s="438" t="s">
        <v>206</v>
      </c>
      <c r="L7" s="289" t="s">
        <v>206</v>
      </c>
    </row>
    <row r="8" spans="1:12" x14ac:dyDescent="0.25">
      <c r="A8" s="158" t="s">
        <v>207</v>
      </c>
      <c r="B8" s="164" t="s">
        <v>208</v>
      </c>
      <c r="C8" s="290">
        <f>+'Calculo IP ZDF'!B28</f>
        <v>4055.21</v>
      </c>
      <c r="D8" s="290">
        <f>+'Calculo IP ZDF'!G28</f>
        <v>4474.7190000000001</v>
      </c>
      <c r="E8" s="290">
        <f>+'Calculo IP ZDF'!F28</f>
        <v>4474.1974</v>
      </c>
      <c r="F8" s="290">
        <f>+'Calculo IP ZDF'!H28</f>
        <v>5266.59</v>
      </c>
      <c r="G8" s="195">
        <f>+'Calculo IP ZDF'!C28</f>
        <v>4276.1000000000004</v>
      </c>
      <c r="H8" s="236">
        <f>+'GAS EXTRA'!E6</f>
        <v>5700</v>
      </c>
      <c r="I8" s="236">
        <f>+'GAS EXTRA'!F6</f>
        <v>5958.63</v>
      </c>
      <c r="J8" s="273">
        <f>+'GAS CTE'!D9</f>
        <v>4474.72</v>
      </c>
      <c r="K8" s="218">
        <f>+BIODIESEL!G9</f>
        <v>5266.59</v>
      </c>
      <c r="L8" s="240">
        <f>+I8</f>
        <v>5958.63</v>
      </c>
    </row>
    <row r="9" spans="1:12" x14ac:dyDescent="0.25">
      <c r="A9" s="158" t="s">
        <v>209</v>
      </c>
      <c r="B9" s="164" t="s">
        <v>210</v>
      </c>
      <c r="C9" s="216" t="str">
        <f>+E9</f>
        <v>------------------</v>
      </c>
      <c r="D9" s="216" t="s">
        <v>211</v>
      </c>
      <c r="E9" s="216" t="s">
        <v>211</v>
      </c>
      <c r="F9" s="216" t="s">
        <v>211</v>
      </c>
      <c r="G9" s="190" t="s">
        <v>211</v>
      </c>
      <c r="H9" s="190" t="s">
        <v>211</v>
      </c>
      <c r="I9" s="274" t="s">
        <v>211</v>
      </c>
      <c r="J9" s="275">
        <f>+'GAS CTE'!D10</f>
        <v>491.63400000000001</v>
      </c>
      <c r="K9" s="215">
        <f>+BIODIESEL!G10</f>
        <v>470.57</v>
      </c>
      <c r="L9" s="237">
        <f>+'GAS EXTRA'!D10</f>
        <v>933.1</v>
      </c>
    </row>
    <row r="10" spans="1:12" x14ac:dyDescent="0.25">
      <c r="A10" s="158"/>
      <c r="B10" s="164" t="s">
        <v>138</v>
      </c>
      <c r="C10" s="216" t="str">
        <f>+E10</f>
        <v>------------------</v>
      </c>
      <c r="D10" s="216" t="s">
        <v>211</v>
      </c>
      <c r="E10" s="216" t="s">
        <v>211</v>
      </c>
      <c r="F10" s="216" t="s">
        <v>211</v>
      </c>
      <c r="G10" s="190" t="s">
        <v>211</v>
      </c>
      <c r="H10" s="190" t="s">
        <v>211</v>
      </c>
      <c r="I10" s="274" t="s">
        <v>211</v>
      </c>
      <c r="J10" s="275" t="str">
        <f>'[6]CORRIENTE OXIGENADA'!C12</f>
        <v>(3)</v>
      </c>
      <c r="K10" s="215" t="str">
        <f>'[6]CORRIENTE OXIGENADA'!C12</f>
        <v>(3)</v>
      </c>
      <c r="L10" s="237" t="str">
        <f>'[6]CORRIENTE OXIGENADA'!D12</f>
        <v>(3)</v>
      </c>
    </row>
    <row r="11" spans="1:12" x14ac:dyDescent="0.25">
      <c r="A11" s="158"/>
      <c r="B11" s="164" t="s">
        <v>140</v>
      </c>
      <c r="C11" s="276">
        <f>+'GAS CTE'!C12</f>
        <v>155</v>
      </c>
      <c r="D11" s="276">
        <f>+'GAS CTE'!D12</f>
        <v>139.5</v>
      </c>
      <c r="E11" s="276">
        <f>+BIODIESEL!E12</f>
        <v>170.52</v>
      </c>
      <c r="F11" s="276">
        <f>+BIODIESEL!G12</f>
        <v>156.6</v>
      </c>
      <c r="G11" s="195">
        <f>+BIODIESEL!C12</f>
        <v>174</v>
      </c>
      <c r="H11" s="236">
        <f>+'GAS EXTRA'!C12</f>
        <v>155</v>
      </c>
      <c r="I11" s="236">
        <f>+'GAS EXTRA'!D12</f>
        <v>139.5</v>
      </c>
      <c r="J11" s="275">
        <f>+'GAS CTE'!D12</f>
        <v>139.5</v>
      </c>
      <c r="K11" s="215">
        <f>+F11</f>
        <v>156.6</v>
      </c>
      <c r="L11" s="237">
        <f>+I11</f>
        <v>139.5</v>
      </c>
    </row>
    <row r="12" spans="1:12" x14ac:dyDescent="0.25">
      <c r="A12" s="158" t="s">
        <v>212</v>
      </c>
      <c r="B12" s="164" t="s">
        <v>296</v>
      </c>
      <c r="C12" s="293" t="s">
        <v>240</v>
      </c>
      <c r="D12" s="216" t="str">
        <f>+C12</f>
        <v>(2)</v>
      </c>
      <c r="E12" s="216" t="str">
        <f>+C12</f>
        <v>(2)</v>
      </c>
      <c r="F12" s="216" t="str">
        <f>+C12</f>
        <v>(2)</v>
      </c>
      <c r="G12" s="189" t="str">
        <f>+C12</f>
        <v>(2)</v>
      </c>
      <c r="H12" s="189" t="str">
        <f>+G12</f>
        <v>(2)</v>
      </c>
      <c r="I12" s="248" t="str">
        <f>+F12</f>
        <v>(2)</v>
      </c>
      <c r="J12" s="275" t="str">
        <f>+L12</f>
        <v>(2)</v>
      </c>
      <c r="K12" s="215" t="str">
        <f>+D12</f>
        <v>(2)</v>
      </c>
      <c r="L12" s="237" t="str">
        <f>+E12</f>
        <v>(2)</v>
      </c>
    </row>
    <row r="13" spans="1:12" x14ac:dyDescent="0.25">
      <c r="A13" s="158" t="s">
        <v>214</v>
      </c>
      <c r="B13" s="164" t="s">
        <v>215</v>
      </c>
      <c r="C13" s="276">
        <f>+RUBROS!W13</f>
        <v>21.906900579364827</v>
      </c>
      <c r="D13" s="189">
        <f>+C13</f>
        <v>21.906900579364827</v>
      </c>
      <c r="E13" s="189">
        <f>+C13</f>
        <v>21.906900579364827</v>
      </c>
      <c r="F13" s="189">
        <f>+C13</f>
        <v>21.906900579364827</v>
      </c>
      <c r="G13" s="189">
        <f>+C13</f>
        <v>21.906900579364827</v>
      </c>
      <c r="H13" s="248">
        <f>+C13</f>
        <v>21.906900579364827</v>
      </c>
      <c r="I13" s="248">
        <f>+C13</f>
        <v>21.906900579364827</v>
      </c>
      <c r="J13" s="273">
        <f>+I13</f>
        <v>21.906900579364827</v>
      </c>
      <c r="K13" s="189">
        <f>+I13</f>
        <v>21.906900579364827</v>
      </c>
      <c r="L13" s="161">
        <f>+I13</f>
        <v>21.906900579364827</v>
      </c>
    </row>
    <row r="14" spans="1:12" x14ac:dyDescent="0.25">
      <c r="A14" s="158" t="s">
        <v>218</v>
      </c>
      <c r="B14" s="164" t="s">
        <v>219</v>
      </c>
      <c r="C14" s="276">
        <f>+RUBROS!AK43</f>
        <v>12.561430159485083</v>
      </c>
      <c r="D14" s="189">
        <f>+C14</f>
        <v>12.561430159485083</v>
      </c>
      <c r="E14" s="189">
        <f>+C14</f>
        <v>12.561430159485083</v>
      </c>
      <c r="F14" s="189">
        <f>+C14</f>
        <v>12.561430159485083</v>
      </c>
      <c r="G14" s="189">
        <f>+C14</f>
        <v>12.561430159485083</v>
      </c>
      <c r="H14" s="248">
        <f>+C14</f>
        <v>12.561430159485083</v>
      </c>
      <c r="I14" s="248">
        <f>+C14</f>
        <v>12.561430159485083</v>
      </c>
      <c r="J14" s="273">
        <f>+C14</f>
        <v>12.561430159485083</v>
      </c>
      <c r="K14" s="189">
        <f>+J14</f>
        <v>12.561430159485083</v>
      </c>
      <c r="L14" s="161">
        <f>+J14</f>
        <v>12.561430159485083</v>
      </c>
    </row>
    <row r="15" spans="1:12" x14ac:dyDescent="0.25">
      <c r="A15" s="158"/>
      <c r="B15" s="164" t="s">
        <v>220</v>
      </c>
      <c r="C15" s="276">
        <f>+'GAS CTE'!C16</f>
        <v>71.510000000000005</v>
      </c>
      <c r="D15" s="189">
        <f>+C15</f>
        <v>71.510000000000005</v>
      </c>
      <c r="E15" s="189">
        <f>+C15</f>
        <v>71.510000000000005</v>
      </c>
      <c r="F15" s="189">
        <f>+C15</f>
        <v>71.510000000000005</v>
      </c>
      <c r="G15" s="189">
        <f>+C15</f>
        <v>71.510000000000005</v>
      </c>
      <c r="H15" s="248">
        <f>+C15</f>
        <v>71.510000000000005</v>
      </c>
      <c r="I15" s="248">
        <f>+C15</f>
        <v>71.510000000000005</v>
      </c>
      <c r="J15" s="273">
        <f>+C15</f>
        <v>71.510000000000005</v>
      </c>
      <c r="K15" s="189">
        <f>+C15</f>
        <v>71.510000000000005</v>
      </c>
      <c r="L15" s="161">
        <f>+C15</f>
        <v>71.510000000000005</v>
      </c>
    </row>
    <row r="16" spans="1:12" x14ac:dyDescent="0.25">
      <c r="A16" s="165" t="s">
        <v>221</v>
      </c>
      <c r="B16" s="196" t="s">
        <v>222</v>
      </c>
      <c r="C16" s="277">
        <f>SUM(C8:C15)</f>
        <v>4316.1883307388498</v>
      </c>
      <c r="D16" s="277">
        <f t="shared" ref="D16:L16" si="0">SUM(D8:D15)</f>
        <v>4720.1973307388498</v>
      </c>
      <c r="E16" s="277">
        <f t="shared" si="0"/>
        <v>4750.6957307388502</v>
      </c>
      <c r="F16" s="277">
        <f t="shared" si="0"/>
        <v>5529.1683307388503</v>
      </c>
      <c r="G16" s="277">
        <f t="shared" si="0"/>
        <v>4556.0783307388501</v>
      </c>
      <c r="H16" s="277">
        <f t="shared" si="0"/>
        <v>5960.9783307388498</v>
      </c>
      <c r="I16" s="278">
        <f t="shared" si="0"/>
        <v>6204.1083307388499</v>
      </c>
      <c r="J16" s="279">
        <f t="shared" si="0"/>
        <v>5211.83233073885</v>
      </c>
      <c r="K16" s="277">
        <f t="shared" si="0"/>
        <v>5999.73833073885</v>
      </c>
      <c r="L16" s="280">
        <f t="shared" si="0"/>
        <v>7137.2083307388502</v>
      </c>
    </row>
    <row r="17" spans="1:12" x14ac:dyDescent="0.25">
      <c r="A17" s="158" t="s">
        <v>223</v>
      </c>
      <c r="B17" s="164" t="s">
        <v>290</v>
      </c>
      <c r="C17" s="294" t="s">
        <v>255</v>
      </c>
      <c r="D17" s="189" t="str">
        <f>+C17</f>
        <v>***</v>
      </c>
      <c r="E17" s="189" t="str">
        <f>+C17</f>
        <v>***</v>
      </c>
      <c r="F17" s="189" t="str">
        <f>+E17</f>
        <v>***</v>
      </c>
      <c r="G17" s="189" t="str">
        <f>+E17</f>
        <v>***</v>
      </c>
      <c r="H17" s="248" t="str">
        <f>+G17</f>
        <v>***</v>
      </c>
      <c r="I17" s="248" t="str">
        <f>+H17</f>
        <v>***</v>
      </c>
      <c r="J17" s="273" t="str">
        <f>L17</f>
        <v>***</v>
      </c>
      <c r="K17" s="189" t="str">
        <f>+L17</f>
        <v>***</v>
      </c>
      <c r="L17" s="161" t="str">
        <f>+E17</f>
        <v>***</v>
      </c>
    </row>
    <row r="18" spans="1:12" x14ac:dyDescent="0.25">
      <c r="A18" s="158" t="s">
        <v>225</v>
      </c>
      <c r="B18" s="164" t="s">
        <v>226</v>
      </c>
      <c r="C18" s="293" t="s">
        <v>253</v>
      </c>
      <c r="D18" s="189" t="str">
        <f>+C18</f>
        <v>**</v>
      </c>
      <c r="E18" s="189" t="str">
        <f>+C18</f>
        <v>**</v>
      </c>
      <c r="F18" s="189" t="str">
        <f>+C18</f>
        <v>**</v>
      </c>
      <c r="G18" s="189" t="str">
        <f>+C18</f>
        <v>**</v>
      </c>
      <c r="H18" s="248" t="str">
        <f>+C18</f>
        <v>**</v>
      </c>
      <c r="I18" s="248" t="str">
        <f>+H18</f>
        <v>**</v>
      </c>
      <c r="J18" s="273" t="str">
        <f>+I18</f>
        <v>**</v>
      </c>
      <c r="K18" s="189" t="str">
        <f>+J18</f>
        <v>**</v>
      </c>
      <c r="L18" s="161" t="str">
        <f>+K18</f>
        <v>**</v>
      </c>
    </row>
    <row r="19" spans="1:12" x14ac:dyDescent="0.25">
      <c r="A19" s="158" t="s">
        <v>227</v>
      </c>
      <c r="B19" s="235" t="s">
        <v>145</v>
      </c>
      <c r="C19" s="281" t="str">
        <f>+E19</f>
        <v>****</v>
      </c>
      <c r="D19" s="189" t="str">
        <f t="shared" ref="D19:D21" si="1">+E19</f>
        <v>****</v>
      </c>
      <c r="E19" s="195" t="str">
        <f>+A62</f>
        <v>****</v>
      </c>
      <c r="F19" s="195" t="str">
        <f>+E19</f>
        <v>****</v>
      </c>
      <c r="G19" s="195" t="str">
        <f>+A62</f>
        <v>****</v>
      </c>
      <c r="H19" s="236" t="str">
        <f>+G19</f>
        <v>****</v>
      </c>
      <c r="I19" s="236" t="str">
        <f>+H19</f>
        <v>****</v>
      </c>
      <c r="J19" s="296" t="str">
        <f>C19</f>
        <v>****</v>
      </c>
      <c r="K19" s="189" t="str">
        <f>+L19</f>
        <v>****</v>
      </c>
      <c r="L19" s="163" t="str">
        <f>J19</f>
        <v>****</v>
      </c>
    </row>
    <row r="20" spans="1:12" x14ac:dyDescent="0.25">
      <c r="A20" s="165" t="s">
        <v>229</v>
      </c>
      <c r="B20" s="196" t="s">
        <v>230</v>
      </c>
      <c r="C20" s="282">
        <f t="shared" ref="C20:L20" si="2">+C16</f>
        <v>4316.1883307388498</v>
      </c>
      <c r="D20" s="197">
        <f t="shared" si="2"/>
        <v>4720.1973307388498</v>
      </c>
      <c r="E20" s="197">
        <f t="shared" si="2"/>
        <v>4750.6957307388502</v>
      </c>
      <c r="F20" s="197">
        <f t="shared" si="2"/>
        <v>5529.1683307388503</v>
      </c>
      <c r="G20" s="197">
        <f t="shared" si="2"/>
        <v>4556.0783307388501</v>
      </c>
      <c r="H20" s="197">
        <f t="shared" si="2"/>
        <v>5960.9783307388498</v>
      </c>
      <c r="I20" s="249">
        <f t="shared" si="2"/>
        <v>6204.1083307388499</v>
      </c>
      <c r="J20" s="279">
        <f t="shared" si="2"/>
        <v>5211.83233073885</v>
      </c>
      <c r="K20" s="197">
        <f t="shared" si="2"/>
        <v>5999.73833073885</v>
      </c>
      <c r="L20" s="167">
        <f t="shared" si="2"/>
        <v>7137.2083307388502</v>
      </c>
    </row>
    <row r="21" spans="1:12" x14ac:dyDescent="0.25">
      <c r="A21" s="158" t="s">
        <v>231</v>
      </c>
      <c r="B21" s="164" t="s">
        <v>176</v>
      </c>
      <c r="C21" s="276" t="str">
        <f>+E21</f>
        <v>***</v>
      </c>
      <c r="D21" s="189" t="str">
        <f t="shared" si="1"/>
        <v>***</v>
      </c>
      <c r="E21" s="189" t="str">
        <f t="shared" ref="E21" si="3">+E17</f>
        <v>***</v>
      </c>
      <c r="F21" s="189" t="str">
        <f>+E21</f>
        <v>***</v>
      </c>
      <c r="G21" s="189" t="str">
        <f>+G17</f>
        <v>***</v>
      </c>
      <c r="H21" s="248" t="str">
        <f>+G21</f>
        <v>***</v>
      </c>
      <c r="I21" s="248" t="str">
        <f>+H21</f>
        <v>***</v>
      </c>
      <c r="J21" s="273" t="str">
        <f>L21</f>
        <v>***</v>
      </c>
      <c r="K21" s="189" t="str">
        <f>+L21</f>
        <v>***</v>
      </c>
      <c r="L21" s="161" t="str">
        <f>+L17</f>
        <v>***</v>
      </c>
    </row>
    <row r="22" spans="1:12" x14ac:dyDescent="0.25">
      <c r="A22" s="158" t="s">
        <v>232</v>
      </c>
      <c r="B22" s="159" t="s">
        <v>233</v>
      </c>
      <c r="C22" s="283" t="s">
        <v>259</v>
      </c>
      <c r="D22" s="189" t="str">
        <f>+C22</f>
        <v>*****</v>
      </c>
      <c r="E22" s="189" t="s">
        <v>234</v>
      </c>
      <c r="F22" s="189" t="str">
        <f>+E22</f>
        <v>N.A</v>
      </c>
      <c r="G22" s="189" t="s">
        <v>234</v>
      </c>
      <c r="H22" s="248" t="str">
        <f>+D22</f>
        <v>*****</v>
      </c>
      <c r="I22" s="248" t="str">
        <f>+D22</f>
        <v>*****</v>
      </c>
      <c r="J22" s="273" t="str">
        <f>+I22</f>
        <v>*****</v>
      </c>
      <c r="K22" s="189" t="s">
        <v>279</v>
      </c>
      <c r="L22" s="161" t="str">
        <f>+I22</f>
        <v>*****</v>
      </c>
    </row>
    <row r="23" spans="1:12" ht="24.75" customHeight="1" x14ac:dyDescent="0.25">
      <c r="A23" s="158" t="s">
        <v>235</v>
      </c>
      <c r="B23" s="159" t="s">
        <v>236</v>
      </c>
      <c r="C23" s="283" t="s">
        <v>261</v>
      </c>
      <c r="D23" s="189" t="str">
        <f>+C23</f>
        <v>******</v>
      </c>
      <c r="E23" s="189" t="str">
        <f>+C23</f>
        <v>******</v>
      </c>
      <c r="F23" s="189" t="str">
        <f>+C23</f>
        <v>******</v>
      </c>
      <c r="G23" s="189" t="str">
        <f>+C23</f>
        <v>******</v>
      </c>
      <c r="H23" s="248" t="str">
        <f>+C23</f>
        <v>******</v>
      </c>
      <c r="I23" s="248" t="str">
        <f>+C23</f>
        <v>******</v>
      </c>
      <c r="J23" s="273" t="str">
        <f>+C23</f>
        <v>******</v>
      </c>
      <c r="K23" s="189" t="str">
        <f>+C23</f>
        <v>******</v>
      </c>
      <c r="L23" s="161" t="str">
        <f>+C23</f>
        <v>******</v>
      </c>
    </row>
    <row r="24" spans="1:12" ht="15.75" thickBot="1" x14ac:dyDescent="0.3">
      <c r="A24" s="169" t="s">
        <v>237</v>
      </c>
      <c r="B24" s="170" t="s">
        <v>238</v>
      </c>
      <c r="C24" s="284"/>
      <c r="D24" s="199"/>
      <c r="E24" s="199"/>
      <c r="F24" s="199"/>
      <c r="G24" s="199"/>
      <c r="H24" s="250"/>
      <c r="I24" s="250"/>
      <c r="J24" s="441"/>
      <c r="K24" s="442"/>
      <c r="L24" s="443"/>
    </row>
    <row r="25" spans="1:12" ht="15.75" thickTop="1" x14ac:dyDescent="0.25">
      <c r="A25" s="174"/>
      <c r="B25" s="175"/>
      <c r="C25" s="175"/>
      <c r="D25" s="176"/>
      <c r="E25" s="176"/>
      <c r="F25" s="176"/>
      <c r="G25" s="176"/>
      <c r="H25" s="176"/>
      <c r="I25" s="176"/>
      <c r="J25" s="176"/>
      <c r="K25" s="176"/>
      <c r="L25" s="176"/>
    </row>
    <row r="26" spans="1:12" ht="15.75" thickBot="1" x14ac:dyDescent="0.3">
      <c r="A26" s="174"/>
      <c r="B26" s="175"/>
      <c r="C26" s="175"/>
      <c r="D26" s="176"/>
      <c r="E26" s="176"/>
      <c r="F26" s="176"/>
      <c r="G26" s="176"/>
      <c r="H26" s="176"/>
      <c r="I26" s="176"/>
      <c r="J26" s="176"/>
      <c r="K26" s="176"/>
      <c r="L26" s="176"/>
    </row>
    <row r="27" spans="1:12" ht="15.75" thickTop="1" x14ac:dyDescent="0.25">
      <c r="A27" s="212"/>
      <c r="B27" s="183" t="s">
        <v>295</v>
      </c>
      <c r="C27" s="554" t="s">
        <v>203</v>
      </c>
      <c r="D27" s="555"/>
      <c r="E27" s="555"/>
      <c r="F27" s="555"/>
      <c r="G27" s="555"/>
      <c r="H27" s="555"/>
      <c r="I27" s="555"/>
      <c r="J27" s="591" t="s">
        <v>275</v>
      </c>
      <c r="K27" s="592"/>
      <c r="L27" s="593"/>
    </row>
    <row r="28" spans="1:12" ht="46.5" customHeight="1" x14ac:dyDescent="0.25">
      <c r="A28" s="184"/>
      <c r="B28" s="298" t="s">
        <v>300</v>
      </c>
      <c r="C28" s="556"/>
      <c r="D28" s="557"/>
      <c r="E28" s="557"/>
      <c r="F28" s="557"/>
      <c r="G28" s="557"/>
      <c r="H28" s="557"/>
      <c r="I28" s="557"/>
      <c r="J28" s="594"/>
      <c r="K28" s="595"/>
      <c r="L28" s="596"/>
    </row>
    <row r="29" spans="1:12" ht="38.25" customHeight="1" x14ac:dyDescent="0.25">
      <c r="A29" s="562" t="s">
        <v>204</v>
      </c>
      <c r="B29" s="564" t="s">
        <v>205</v>
      </c>
      <c r="C29" s="566" t="s">
        <v>266</v>
      </c>
      <c r="D29" s="186" t="s">
        <v>97</v>
      </c>
      <c r="E29" s="186" t="s">
        <v>194</v>
      </c>
      <c r="F29" s="186" t="str">
        <f>+F5</f>
        <v>Biodiesel B10</v>
      </c>
      <c r="G29" s="588" t="s">
        <v>439</v>
      </c>
      <c r="H29" s="566" t="s">
        <v>185</v>
      </c>
      <c r="I29" s="271" t="s">
        <v>126</v>
      </c>
      <c r="J29" s="156" t="s">
        <v>97</v>
      </c>
      <c r="K29" s="207" t="str">
        <f>+K5</f>
        <v>Biodiesel B10</v>
      </c>
      <c r="L29" s="207" t="s">
        <v>126</v>
      </c>
    </row>
    <row r="30" spans="1:12" x14ac:dyDescent="0.25">
      <c r="A30" s="562"/>
      <c r="B30" s="564"/>
      <c r="C30" s="567"/>
      <c r="D30" s="187">
        <v>0.08</v>
      </c>
      <c r="E30" s="205">
        <v>0.02</v>
      </c>
      <c r="F30" s="431">
        <f>+F6</f>
        <v>0.1</v>
      </c>
      <c r="G30" s="589"/>
      <c r="H30" s="567"/>
      <c r="I30" s="272" t="s">
        <v>289</v>
      </c>
      <c r="J30" s="299">
        <v>0.1</v>
      </c>
      <c r="K30" s="432">
        <f>+K6</f>
        <v>0.1</v>
      </c>
      <c r="L30" s="300" t="s">
        <v>289</v>
      </c>
    </row>
    <row r="31" spans="1:12" x14ac:dyDescent="0.25">
      <c r="A31" s="563"/>
      <c r="B31" s="565"/>
      <c r="C31" s="156" t="s">
        <v>206</v>
      </c>
      <c r="D31" s="186" t="s">
        <v>206</v>
      </c>
      <c r="E31" s="186" t="s">
        <v>206</v>
      </c>
      <c r="F31" s="186" t="s">
        <v>206</v>
      </c>
      <c r="G31" s="186" t="s">
        <v>206</v>
      </c>
      <c r="H31" s="207" t="s">
        <v>206</v>
      </c>
      <c r="I31" s="271" t="s">
        <v>206</v>
      </c>
      <c r="J31" s="156" t="s">
        <v>206</v>
      </c>
      <c r="K31" s="207" t="s">
        <v>206</v>
      </c>
      <c r="L31" s="289" t="s">
        <v>206</v>
      </c>
    </row>
    <row r="32" spans="1:12" x14ac:dyDescent="0.25">
      <c r="A32" s="158" t="s">
        <v>207</v>
      </c>
      <c r="B32" s="164" t="s">
        <v>208</v>
      </c>
      <c r="C32" s="290">
        <f>+'Calculo IP ZDF'!B29</f>
        <v>4006.141959</v>
      </c>
      <c r="D32" s="290">
        <f>+'Calculo IP ZDF'!G29</f>
        <v>4430.5577630999996</v>
      </c>
      <c r="E32" s="290">
        <f>+'Calculo IP ZDF'!F29</f>
        <v>4133.0843507999998</v>
      </c>
      <c r="F32" s="291">
        <f>+'Calculo IP ZDF'!H29</f>
        <v>4953.3229140000003</v>
      </c>
      <c r="G32" s="195">
        <f>+'Calculo IP ZDF'!C29</f>
        <v>3928.0254600000003</v>
      </c>
      <c r="H32" s="236">
        <f>+'GAS EXTRA'!C6</f>
        <v>5700</v>
      </c>
      <c r="I32" s="236">
        <f>+'GAS EXTRA'!D6</f>
        <v>5958.63</v>
      </c>
      <c r="J32" s="273">
        <f>+'GAS CTE'!D9</f>
        <v>4474.72</v>
      </c>
      <c r="K32" s="218">
        <f>+BIODIESEL!G9</f>
        <v>5266.59</v>
      </c>
      <c r="L32" s="240">
        <f>+I32</f>
        <v>5958.63</v>
      </c>
    </row>
    <row r="33" spans="1:12" x14ac:dyDescent="0.25">
      <c r="A33" s="158" t="s">
        <v>209</v>
      </c>
      <c r="B33" s="164" t="s">
        <v>210</v>
      </c>
      <c r="C33" s="216" t="str">
        <f>+E33</f>
        <v>------------------</v>
      </c>
      <c r="D33" s="216" t="s">
        <v>211</v>
      </c>
      <c r="E33" s="216" t="s">
        <v>211</v>
      </c>
      <c r="F33" s="216" t="s">
        <v>211</v>
      </c>
      <c r="G33" s="190" t="s">
        <v>211</v>
      </c>
      <c r="H33" s="190" t="s">
        <v>211</v>
      </c>
      <c r="I33" s="274" t="s">
        <v>211</v>
      </c>
      <c r="J33" s="275">
        <f>+'GAS CTE'!C10</f>
        <v>546.26</v>
      </c>
      <c r="K33" s="215">
        <f>+BIODIESEL!G10</f>
        <v>470.57</v>
      </c>
      <c r="L33" s="237">
        <f>+'GAS EXTRA'!D10</f>
        <v>933.1</v>
      </c>
    </row>
    <row r="34" spans="1:12" x14ac:dyDescent="0.25">
      <c r="A34" s="158"/>
      <c r="B34" s="164" t="s">
        <v>138</v>
      </c>
      <c r="C34" s="216" t="str">
        <f>+E34</f>
        <v>------------------</v>
      </c>
      <c r="D34" s="216" t="s">
        <v>211</v>
      </c>
      <c r="E34" s="216" t="s">
        <v>211</v>
      </c>
      <c r="F34" s="216" t="s">
        <v>211</v>
      </c>
      <c r="G34" s="190" t="s">
        <v>211</v>
      </c>
      <c r="H34" s="190" t="s">
        <v>211</v>
      </c>
      <c r="I34" s="274" t="s">
        <v>211</v>
      </c>
      <c r="J34" s="275" t="str">
        <f>+J10</f>
        <v>(3)</v>
      </c>
      <c r="K34" s="215" t="str">
        <f>+J34</f>
        <v>(3)</v>
      </c>
      <c r="L34" s="237" t="str">
        <f>+J34</f>
        <v>(3)</v>
      </c>
    </row>
    <row r="35" spans="1:12" x14ac:dyDescent="0.25">
      <c r="A35" s="158"/>
      <c r="B35" s="164" t="s">
        <v>140</v>
      </c>
      <c r="C35" s="276">
        <f>'GAS CTE'!C12</f>
        <v>155</v>
      </c>
      <c r="D35" s="276">
        <f>+'GAS CTE'!D12</f>
        <v>139.5</v>
      </c>
      <c r="E35" s="276">
        <f>+BIODIESEL!E12</f>
        <v>170.52</v>
      </c>
      <c r="F35" s="276">
        <f>+BIODIESEL!G12</f>
        <v>156.6</v>
      </c>
      <c r="G35" s="195">
        <f>+BIODIESEL!C12</f>
        <v>174</v>
      </c>
      <c r="H35" s="236">
        <f>+'GAS EXTRA'!C12</f>
        <v>155</v>
      </c>
      <c r="I35" s="236">
        <f>+'GAS EXTRA'!D12</f>
        <v>139.5</v>
      </c>
      <c r="J35" s="275">
        <f>+D35</f>
        <v>139.5</v>
      </c>
      <c r="K35" s="215">
        <f>+F35</f>
        <v>156.6</v>
      </c>
      <c r="L35" s="237">
        <f>+I35</f>
        <v>139.5</v>
      </c>
    </row>
    <row r="36" spans="1:12" x14ac:dyDescent="0.25">
      <c r="A36" s="158" t="s">
        <v>212</v>
      </c>
      <c r="B36" s="164" t="s">
        <v>296</v>
      </c>
      <c r="C36" s="216" t="str">
        <f>+C12</f>
        <v>(2)</v>
      </c>
      <c r="D36" s="216" t="str">
        <f>+C36</f>
        <v>(2)</v>
      </c>
      <c r="E36" s="216" t="str">
        <f>+C36</f>
        <v>(2)</v>
      </c>
      <c r="F36" s="216" t="str">
        <f>+C36</f>
        <v>(2)</v>
      </c>
      <c r="G36" s="189" t="str">
        <f>+C36</f>
        <v>(2)</v>
      </c>
      <c r="H36" s="189" t="str">
        <f>+G36</f>
        <v>(2)</v>
      </c>
      <c r="I36" s="248" t="str">
        <f>+F36</f>
        <v>(2)</v>
      </c>
      <c r="J36" s="275" t="str">
        <f>+L36</f>
        <v>(2)</v>
      </c>
      <c r="K36" s="215" t="str">
        <f>+D36</f>
        <v>(2)</v>
      </c>
      <c r="L36" s="237" t="str">
        <f>+E36</f>
        <v>(2)</v>
      </c>
    </row>
    <row r="37" spans="1:12" x14ac:dyDescent="0.25">
      <c r="A37" s="158" t="s">
        <v>216</v>
      </c>
      <c r="B37" s="164" t="s">
        <v>217</v>
      </c>
      <c r="C37" s="216">
        <f>+RUBROS!W50</f>
        <v>104.89393330283374</v>
      </c>
      <c r="D37" s="216">
        <f>+C37</f>
        <v>104.89393330283374</v>
      </c>
      <c r="E37" s="216">
        <f>+C37</f>
        <v>104.89393330283374</v>
      </c>
      <c r="F37" s="216">
        <f>+C37</f>
        <v>104.89393330283374</v>
      </c>
      <c r="G37" s="189">
        <f>+C37</f>
        <v>104.89393330283374</v>
      </c>
      <c r="H37" s="248">
        <f>+C37</f>
        <v>104.89393330283374</v>
      </c>
      <c r="I37" s="248">
        <f>+C37</f>
        <v>104.89393330283374</v>
      </c>
      <c r="J37" s="275">
        <f>+I37</f>
        <v>104.89393330283374</v>
      </c>
      <c r="K37" s="215">
        <f>+J37</f>
        <v>104.89393330283374</v>
      </c>
      <c r="L37" s="237">
        <f>+K37</f>
        <v>104.89393330283374</v>
      </c>
    </row>
    <row r="38" spans="1:12" x14ac:dyDescent="0.25">
      <c r="A38" s="158" t="s">
        <v>214</v>
      </c>
      <c r="B38" s="164" t="s">
        <v>215</v>
      </c>
      <c r="C38" s="276">
        <f>+RUBROS!W21</f>
        <v>21.906900579364827</v>
      </c>
      <c r="D38" s="189">
        <f>+C38</f>
        <v>21.906900579364827</v>
      </c>
      <c r="E38" s="189">
        <f>+C38</f>
        <v>21.906900579364827</v>
      </c>
      <c r="F38" s="189">
        <f>+C38</f>
        <v>21.906900579364827</v>
      </c>
      <c r="G38" s="189">
        <f>+C38</f>
        <v>21.906900579364827</v>
      </c>
      <c r="H38" s="248">
        <f>+C38</f>
        <v>21.906900579364827</v>
      </c>
      <c r="I38" s="248">
        <f>+C38</f>
        <v>21.906900579364827</v>
      </c>
      <c r="J38" s="273">
        <f>+I38</f>
        <v>21.906900579364827</v>
      </c>
      <c r="K38" s="189">
        <f>+I38</f>
        <v>21.906900579364827</v>
      </c>
      <c r="L38" s="161">
        <f>+I38</f>
        <v>21.906900579364827</v>
      </c>
    </row>
    <row r="39" spans="1:12" x14ac:dyDescent="0.25">
      <c r="A39" s="158" t="s">
        <v>218</v>
      </c>
      <c r="B39" s="164" t="s">
        <v>219</v>
      </c>
      <c r="C39" s="276">
        <f>+C14</f>
        <v>12.561430159485083</v>
      </c>
      <c r="D39" s="189">
        <f>+C39</f>
        <v>12.561430159485083</v>
      </c>
      <c r="E39" s="189">
        <f>+C39</f>
        <v>12.561430159485083</v>
      </c>
      <c r="F39" s="189">
        <f>+C39</f>
        <v>12.561430159485083</v>
      </c>
      <c r="G39" s="189">
        <f>+C39</f>
        <v>12.561430159485083</v>
      </c>
      <c r="H39" s="248">
        <f>+C39</f>
        <v>12.561430159485083</v>
      </c>
      <c r="I39" s="248">
        <f>+C39</f>
        <v>12.561430159485083</v>
      </c>
      <c r="J39" s="273">
        <f>+C39</f>
        <v>12.561430159485083</v>
      </c>
      <c r="K39" s="189">
        <f>+J39</f>
        <v>12.561430159485083</v>
      </c>
      <c r="L39" s="161">
        <f>+J39</f>
        <v>12.561430159485083</v>
      </c>
    </row>
    <row r="40" spans="1:12" x14ac:dyDescent="0.25">
      <c r="A40" s="158"/>
      <c r="B40" s="164" t="s">
        <v>220</v>
      </c>
      <c r="C40" s="276">
        <f>+'GAS CTE'!C16</f>
        <v>71.510000000000005</v>
      </c>
      <c r="D40" s="189">
        <f>+C40</f>
        <v>71.510000000000005</v>
      </c>
      <c r="E40" s="189">
        <f>+C40</f>
        <v>71.510000000000005</v>
      </c>
      <c r="F40" s="189">
        <f>+C40</f>
        <v>71.510000000000005</v>
      </c>
      <c r="G40" s="189">
        <f>+C40</f>
        <v>71.510000000000005</v>
      </c>
      <c r="H40" s="248">
        <f>+C40</f>
        <v>71.510000000000005</v>
      </c>
      <c r="I40" s="248">
        <f>+C40</f>
        <v>71.510000000000005</v>
      </c>
      <c r="J40" s="273">
        <f>+C40</f>
        <v>71.510000000000005</v>
      </c>
      <c r="K40" s="189">
        <f>+C40</f>
        <v>71.510000000000005</v>
      </c>
      <c r="L40" s="161">
        <f>+C40</f>
        <v>71.510000000000005</v>
      </c>
    </row>
    <row r="41" spans="1:12" x14ac:dyDescent="0.25">
      <c r="A41" s="165" t="s">
        <v>221</v>
      </c>
      <c r="B41" s="196" t="s">
        <v>222</v>
      </c>
      <c r="C41" s="277">
        <f t="shared" ref="C41:L41" si="4">SUM(C32:C40)</f>
        <v>4372.0142230416841</v>
      </c>
      <c r="D41" s="277">
        <f t="shared" si="4"/>
        <v>4780.9300271416832</v>
      </c>
      <c r="E41" s="277">
        <f t="shared" si="4"/>
        <v>4514.4766148416838</v>
      </c>
      <c r="F41" s="277">
        <f t="shared" si="4"/>
        <v>5320.7951780416843</v>
      </c>
      <c r="G41" s="277">
        <f t="shared" si="4"/>
        <v>4312.8977240416843</v>
      </c>
      <c r="H41" s="277">
        <f t="shared" si="4"/>
        <v>6065.8722640416836</v>
      </c>
      <c r="I41" s="278">
        <f t="shared" si="4"/>
        <v>6309.0022640416837</v>
      </c>
      <c r="J41" s="279">
        <f t="shared" si="4"/>
        <v>5371.3522640416841</v>
      </c>
      <c r="K41" s="277">
        <f t="shared" si="4"/>
        <v>6104.6322640416838</v>
      </c>
      <c r="L41" s="280">
        <f t="shared" si="4"/>
        <v>7242.1022640416841</v>
      </c>
    </row>
    <row r="42" spans="1:12" x14ac:dyDescent="0.25">
      <c r="A42" s="158" t="s">
        <v>223</v>
      </c>
      <c r="B42" s="164" t="s">
        <v>290</v>
      </c>
      <c r="C42" s="293" t="s">
        <v>255</v>
      </c>
      <c r="D42" s="189" t="str">
        <f>+C42</f>
        <v>***</v>
      </c>
      <c r="E42" s="189" t="str">
        <f>+C42</f>
        <v>***</v>
      </c>
      <c r="F42" s="189" t="str">
        <f>+E42</f>
        <v>***</v>
      </c>
      <c r="G42" s="189" t="str">
        <f>+E42</f>
        <v>***</v>
      </c>
      <c r="H42" s="248" t="str">
        <f>+G42</f>
        <v>***</v>
      </c>
      <c r="I42" s="248" t="str">
        <f>+H42</f>
        <v>***</v>
      </c>
      <c r="J42" s="273" t="str">
        <f>L42</f>
        <v>***</v>
      </c>
      <c r="K42" s="189" t="str">
        <f>+L42</f>
        <v>***</v>
      </c>
      <c r="L42" s="161" t="str">
        <f>+E42</f>
        <v>***</v>
      </c>
    </row>
    <row r="43" spans="1:12" x14ac:dyDescent="0.25">
      <c r="A43" s="158" t="s">
        <v>225</v>
      </c>
      <c r="B43" s="164" t="s">
        <v>226</v>
      </c>
      <c r="C43" s="293" t="s">
        <v>253</v>
      </c>
      <c r="D43" s="189" t="str">
        <f>+C43</f>
        <v>**</v>
      </c>
      <c r="E43" s="189" t="str">
        <f>+C43</f>
        <v>**</v>
      </c>
      <c r="F43" s="189" t="str">
        <f>+C43</f>
        <v>**</v>
      </c>
      <c r="G43" s="189" t="str">
        <f>+C43</f>
        <v>**</v>
      </c>
      <c r="H43" s="248" t="str">
        <f>+C43</f>
        <v>**</v>
      </c>
      <c r="I43" s="248" t="str">
        <f>+H43</f>
        <v>**</v>
      </c>
      <c r="J43" s="273" t="str">
        <f>+I43</f>
        <v>**</v>
      </c>
      <c r="K43" s="189" t="str">
        <f>+J43</f>
        <v>**</v>
      </c>
      <c r="L43" s="161" t="str">
        <f>+K43</f>
        <v>**</v>
      </c>
    </row>
    <row r="44" spans="1:12" x14ac:dyDescent="0.25">
      <c r="A44" s="158" t="s">
        <v>227</v>
      </c>
      <c r="B44" s="235" t="s">
        <v>145</v>
      </c>
      <c r="C44" s="297" t="str">
        <f>+C19</f>
        <v>****</v>
      </c>
      <c r="D44" s="189" t="str">
        <f>+C44</f>
        <v>****</v>
      </c>
      <c r="E44" s="195" t="str">
        <f>+C44</f>
        <v>****</v>
      </c>
      <c r="F44" s="195" t="str">
        <f>+E44</f>
        <v>****</v>
      </c>
      <c r="G44" s="195" t="str">
        <f>+C44</f>
        <v>****</v>
      </c>
      <c r="H44" s="236" t="str">
        <f>+G44</f>
        <v>****</v>
      </c>
      <c r="I44" s="248" t="str">
        <f>+C44</f>
        <v>****</v>
      </c>
      <c r="J44" s="296" t="str">
        <f>C44</f>
        <v>****</v>
      </c>
      <c r="K44" s="189" t="str">
        <f>+L44</f>
        <v>****</v>
      </c>
      <c r="L44" s="163" t="str">
        <f>J44</f>
        <v>****</v>
      </c>
    </row>
    <row r="45" spans="1:12" x14ac:dyDescent="0.25">
      <c r="A45" s="165" t="s">
        <v>229</v>
      </c>
      <c r="B45" s="196" t="s">
        <v>230</v>
      </c>
      <c r="C45" s="282">
        <f t="shared" ref="C45:L45" si="5">+C41</f>
        <v>4372.0142230416841</v>
      </c>
      <c r="D45" s="197">
        <f t="shared" si="5"/>
        <v>4780.9300271416832</v>
      </c>
      <c r="E45" s="197">
        <f t="shared" si="5"/>
        <v>4514.4766148416838</v>
      </c>
      <c r="F45" s="197">
        <f t="shared" si="5"/>
        <v>5320.7951780416843</v>
      </c>
      <c r="G45" s="197">
        <f t="shared" si="5"/>
        <v>4312.8977240416843</v>
      </c>
      <c r="H45" s="197">
        <f t="shared" si="5"/>
        <v>6065.8722640416836</v>
      </c>
      <c r="I45" s="249">
        <f t="shared" si="5"/>
        <v>6309.0022640416837</v>
      </c>
      <c r="J45" s="279">
        <f t="shared" si="5"/>
        <v>5371.3522640416841</v>
      </c>
      <c r="K45" s="197">
        <f t="shared" si="5"/>
        <v>6104.6322640416838</v>
      </c>
      <c r="L45" s="167">
        <f t="shared" si="5"/>
        <v>7242.1022640416841</v>
      </c>
    </row>
    <row r="46" spans="1:12" x14ac:dyDescent="0.25">
      <c r="A46" s="158" t="s">
        <v>231</v>
      </c>
      <c r="B46" s="164" t="s">
        <v>176</v>
      </c>
      <c r="C46" s="295" t="str">
        <f>+C42</f>
        <v>***</v>
      </c>
      <c r="D46" s="189" t="str">
        <f t="shared" ref="D46" si="6">+E46</f>
        <v>***</v>
      </c>
      <c r="E46" s="189" t="str">
        <f t="shared" ref="E46" si="7">+E42</f>
        <v>***</v>
      </c>
      <c r="F46" s="189" t="str">
        <f>+E46</f>
        <v>***</v>
      </c>
      <c r="G46" s="189" t="str">
        <f>+G42</f>
        <v>***</v>
      </c>
      <c r="H46" s="248" t="str">
        <f>+G46</f>
        <v>***</v>
      </c>
      <c r="I46" s="248" t="str">
        <f>+C46</f>
        <v>***</v>
      </c>
      <c r="J46" s="273" t="str">
        <f>L46</f>
        <v>***</v>
      </c>
      <c r="K46" s="189" t="str">
        <f>+L46</f>
        <v>***</v>
      </c>
      <c r="L46" s="161" t="str">
        <f>+L42</f>
        <v>***</v>
      </c>
    </row>
    <row r="47" spans="1:12" x14ac:dyDescent="0.25">
      <c r="A47" s="158" t="s">
        <v>232</v>
      </c>
      <c r="B47" s="159" t="s">
        <v>233</v>
      </c>
      <c r="C47" s="218" t="str">
        <f>+C22</f>
        <v>*****</v>
      </c>
      <c r="D47" s="218" t="str">
        <f t="shared" ref="D47:L47" si="8">+D22</f>
        <v>*****</v>
      </c>
      <c r="E47" s="218" t="str">
        <f t="shared" si="8"/>
        <v>N.A</v>
      </c>
      <c r="F47" s="218" t="str">
        <f t="shared" si="8"/>
        <v>N.A</v>
      </c>
      <c r="G47" s="218" t="str">
        <f t="shared" si="8"/>
        <v>N.A</v>
      </c>
      <c r="H47" s="218" t="str">
        <f t="shared" si="8"/>
        <v>*****</v>
      </c>
      <c r="I47" s="218" t="str">
        <f t="shared" si="8"/>
        <v>*****</v>
      </c>
      <c r="J47" s="273" t="str">
        <f t="shared" si="8"/>
        <v>*****</v>
      </c>
      <c r="K47" s="218" t="str">
        <f t="shared" si="8"/>
        <v>N.A.</v>
      </c>
      <c r="L47" s="240" t="str">
        <f t="shared" si="8"/>
        <v>*****</v>
      </c>
    </row>
    <row r="48" spans="1:12" x14ac:dyDescent="0.25">
      <c r="A48" s="158" t="s">
        <v>235</v>
      </c>
      <c r="B48" s="159" t="s">
        <v>236</v>
      </c>
      <c r="C48" s="218" t="str">
        <f>+C23</f>
        <v>******</v>
      </c>
      <c r="D48" s="218" t="str">
        <f t="shared" ref="D48:L48" si="9">+D23</f>
        <v>******</v>
      </c>
      <c r="E48" s="218" t="str">
        <f t="shared" si="9"/>
        <v>******</v>
      </c>
      <c r="F48" s="218" t="str">
        <f t="shared" si="9"/>
        <v>******</v>
      </c>
      <c r="G48" s="218" t="str">
        <f t="shared" si="9"/>
        <v>******</v>
      </c>
      <c r="H48" s="218" t="str">
        <f t="shared" si="9"/>
        <v>******</v>
      </c>
      <c r="I48" s="218" t="str">
        <f t="shared" si="9"/>
        <v>******</v>
      </c>
      <c r="J48" s="273" t="str">
        <f t="shared" si="9"/>
        <v>******</v>
      </c>
      <c r="K48" s="218" t="str">
        <f t="shared" si="9"/>
        <v>******</v>
      </c>
      <c r="L48" s="240" t="str">
        <f t="shared" si="9"/>
        <v>******</v>
      </c>
    </row>
    <row r="49" spans="1:12" ht="15.75" thickBot="1" x14ac:dyDescent="0.3">
      <c r="A49" s="169" t="s">
        <v>237</v>
      </c>
      <c r="B49" s="170" t="s">
        <v>238</v>
      </c>
      <c r="C49" s="284"/>
      <c r="D49" s="199"/>
      <c r="E49" s="199"/>
      <c r="F49" s="199"/>
      <c r="G49" s="199"/>
      <c r="H49" s="250"/>
      <c r="I49" s="250"/>
      <c r="J49" s="285"/>
      <c r="K49" s="199"/>
      <c r="L49" s="172"/>
    </row>
    <row r="50" spans="1:12" ht="15.75" thickTop="1" x14ac:dyDescent="0.25">
      <c r="A50" s="174"/>
      <c r="B50" s="175"/>
      <c r="C50" s="175"/>
      <c r="D50" s="176"/>
      <c r="E50" s="176"/>
      <c r="F50" s="176"/>
      <c r="G50" s="176"/>
      <c r="H50" s="176"/>
      <c r="I50" s="176"/>
      <c r="J50" s="176"/>
      <c r="K50" s="176"/>
      <c r="L50" s="176"/>
    </row>
    <row r="51" spans="1:12" ht="15" customHeight="1" x14ac:dyDescent="0.25">
      <c r="A51" s="174"/>
      <c r="B51" s="292" t="s">
        <v>251</v>
      </c>
      <c r="C51" s="175"/>
      <c r="D51" s="176"/>
      <c r="E51" s="176"/>
      <c r="F51" s="176"/>
      <c r="G51" s="176"/>
      <c r="H51" s="176"/>
      <c r="I51" s="176"/>
      <c r="J51" s="176"/>
      <c r="K51" s="176"/>
      <c r="L51" s="176"/>
    </row>
    <row r="52" spans="1:12" x14ac:dyDescent="0.25">
      <c r="A52" s="174"/>
      <c r="B52" s="175"/>
      <c r="C52" s="175"/>
      <c r="D52" s="176"/>
      <c r="E52" s="176"/>
      <c r="F52" s="176"/>
      <c r="G52" s="176"/>
      <c r="H52" s="176"/>
      <c r="I52" s="176"/>
      <c r="J52" s="176"/>
      <c r="K52" s="176"/>
      <c r="L52" s="176"/>
    </row>
    <row r="53" spans="1:12" ht="19.5" customHeight="1" x14ac:dyDescent="0.25">
      <c r="A53" s="177" t="s">
        <v>213</v>
      </c>
      <c r="B53" s="571" t="str">
        <f>+BOYACA!B29</f>
        <v>De acuerdo con lo establecido en la Resolución MME 91349 de 2014</v>
      </c>
      <c r="C53" s="571"/>
      <c r="D53" s="571"/>
      <c r="E53" s="571"/>
      <c r="F53" s="571"/>
      <c r="G53" s="571"/>
      <c r="H53" s="571"/>
      <c r="I53" s="571"/>
      <c r="J53" s="571"/>
      <c r="K53" s="176"/>
      <c r="L53" s="176"/>
    </row>
    <row r="54" spans="1:12" ht="24.75" customHeight="1" x14ac:dyDescent="0.25">
      <c r="A54" s="177" t="s">
        <v>240</v>
      </c>
      <c r="B54" s="568" t="s">
        <v>297</v>
      </c>
      <c r="C54" s="568"/>
      <c r="D54" s="568"/>
      <c r="E54" s="568"/>
      <c r="F54" s="568"/>
      <c r="G54" s="568"/>
      <c r="H54" s="568"/>
      <c r="I54" s="568"/>
      <c r="J54" s="568"/>
      <c r="K54" s="176"/>
      <c r="L54" s="176"/>
    </row>
    <row r="55" spans="1:12" ht="39" customHeight="1" x14ac:dyDescent="0.25">
      <c r="A55" s="177" t="s">
        <v>139</v>
      </c>
      <c r="B55" s="571" t="s">
        <v>365</v>
      </c>
      <c r="C55" s="571"/>
      <c r="D55" s="571"/>
      <c r="E55" s="571"/>
      <c r="F55" s="571"/>
      <c r="G55" s="571"/>
      <c r="H55" s="571"/>
      <c r="I55" s="571"/>
      <c r="J55" s="571"/>
      <c r="K55" s="176"/>
      <c r="L55" s="176"/>
    </row>
    <row r="56" spans="1:12" ht="7.5" customHeight="1" x14ac:dyDescent="0.25">
      <c r="A56" s="177"/>
      <c r="B56" s="234"/>
      <c r="C56" s="234"/>
      <c r="D56" s="234"/>
      <c r="E56" s="234"/>
      <c r="F56" s="234"/>
      <c r="G56" s="234"/>
      <c r="H56" s="234"/>
      <c r="I56" s="234"/>
      <c r="J56" s="234"/>
      <c r="K56" s="176"/>
      <c r="L56" s="176"/>
    </row>
    <row r="57" spans="1:12" x14ac:dyDescent="0.25">
      <c r="A57" s="286">
        <v>2</v>
      </c>
      <c r="B57" s="590" t="s">
        <v>291</v>
      </c>
      <c r="C57" s="590"/>
      <c r="D57" s="590"/>
      <c r="E57" s="590"/>
      <c r="F57" s="590"/>
      <c r="G57" s="590"/>
      <c r="H57" s="590"/>
      <c r="I57" s="590"/>
      <c r="J57" s="590"/>
      <c r="K57" s="590"/>
      <c r="L57" s="590"/>
    </row>
    <row r="58" spans="1:12" x14ac:dyDescent="0.25">
      <c r="A58" s="177"/>
      <c r="B58" s="200" t="s">
        <v>174</v>
      </c>
      <c r="C58" s="200"/>
      <c r="D58" s="232"/>
      <c r="E58" s="232"/>
      <c r="F58" s="232"/>
      <c r="G58" s="232"/>
      <c r="H58" s="232"/>
      <c r="I58" s="232"/>
      <c r="J58" s="232"/>
      <c r="K58" s="232"/>
      <c r="L58" s="232"/>
    </row>
    <row r="59" spans="1:12" x14ac:dyDescent="0.25">
      <c r="A59" s="201" t="s">
        <v>104</v>
      </c>
      <c r="B59" s="569" t="s">
        <v>252</v>
      </c>
      <c r="C59" s="569"/>
      <c r="D59" s="569"/>
      <c r="E59" s="569"/>
      <c r="F59" s="569"/>
      <c r="G59" s="569"/>
      <c r="H59" s="569"/>
      <c r="I59" s="569"/>
      <c r="J59" s="569"/>
      <c r="K59" s="287"/>
      <c r="L59" s="287"/>
    </row>
    <row r="60" spans="1:12" x14ac:dyDescent="0.25">
      <c r="A60" s="201" t="s">
        <v>253</v>
      </c>
      <c r="B60" s="569" t="s">
        <v>287</v>
      </c>
      <c r="C60" s="569"/>
      <c r="D60" s="569"/>
      <c r="E60" s="569"/>
      <c r="F60" s="569"/>
      <c r="G60" s="569"/>
      <c r="H60" s="569"/>
      <c r="I60" s="569"/>
      <c r="J60" s="569"/>
      <c r="K60" s="569"/>
      <c r="L60" s="569"/>
    </row>
    <row r="61" spans="1:12" x14ac:dyDescent="0.25">
      <c r="A61" s="201" t="s">
        <v>255</v>
      </c>
      <c r="B61" s="569" t="s">
        <v>298</v>
      </c>
      <c r="C61" s="569"/>
      <c r="D61" s="569"/>
      <c r="E61" s="569"/>
      <c r="F61" s="569"/>
      <c r="G61" s="569"/>
      <c r="H61" s="569"/>
      <c r="I61" s="569"/>
      <c r="J61" s="569"/>
      <c r="K61" s="569"/>
      <c r="L61" s="569"/>
    </row>
    <row r="62" spans="1:12" x14ac:dyDescent="0.25">
      <c r="A62" s="201" t="s">
        <v>257</v>
      </c>
      <c r="B62" s="569" t="s">
        <v>292</v>
      </c>
      <c r="C62" s="569"/>
      <c r="D62" s="569"/>
      <c r="E62" s="569"/>
      <c r="F62" s="569"/>
      <c r="G62" s="569"/>
      <c r="H62" s="569"/>
      <c r="I62" s="569"/>
      <c r="J62" s="569"/>
      <c r="K62" s="569"/>
      <c r="L62" s="569"/>
    </row>
    <row r="63" spans="1:12" x14ac:dyDescent="0.25">
      <c r="A63" s="201" t="s">
        <v>259</v>
      </c>
      <c r="B63" s="569" t="s">
        <v>262</v>
      </c>
      <c r="C63" s="569"/>
      <c r="D63" s="569"/>
      <c r="E63" s="569"/>
      <c r="F63" s="569"/>
      <c r="G63" s="569"/>
      <c r="H63" s="569"/>
      <c r="I63" s="569"/>
      <c r="J63" s="206"/>
      <c r="K63" s="288"/>
      <c r="L63" s="288"/>
    </row>
    <row r="64" spans="1:12" x14ac:dyDescent="0.25">
      <c r="A64" s="201" t="s">
        <v>261</v>
      </c>
      <c r="B64" s="569" t="s">
        <v>293</v>
      </c>
      <c r="C64" s="569"/>
      <c r="D64" s="569"/>
      <c r="E64" s="569"/>
      <c r="F64" s="569"/>
      <c r="G64" s="569"/>
      <c r="H64" s="569"/>
      <c r="I64" s="569"/>
      <c r="J64" s="569"/>
      <c r="K64" s="569"/>
      <c r="L64" s="569"/>
    </row>
    <row r="65" spans="1:12" x14ac:dyDescent="0.25">
      <c r="A65" s="268"/>
      <c r="B65" s="269"/>
      <c r="C65" s="269"/>
      <c r="D65" s="269"/>
      <c r="E65" s="269"/>
      <c r="F65" s="269"/>
      <c r="G65" s="269"/>
      <c r="H65" s="269"/>
      <c r="I65" s="269"/>
      <c r="J65" s="269"/>
      <c r="K65" s="269"/>
      <c r="L65" s="269"/>
    </row>
    <row r="66" spans="1:12" ht="87.75" customHeight="1" x14ac:dyDescent="0.25">
      <c r="A66" s="573" t="s">
        <v>163</v>
      </c>
      <c r="B66" s="573"/>
      <c r="C66" s="573"/>
      <c r="D66" s="573"/>
      <c r="E66" s="573"/>
      <c r="F66" s="573"/>
      <c r="G66" s="573"/>
      <c r="H66" s="573"/>
      <c r="I66" s="573"/>
      <c r="J66" s="573"/>
    </row>
  </sheetData>
  <sheetProtection password="C712" sheet="1" objects="1" scenarios="1"/>
  <mergeCells count="25">
    <mergeCell ref="C3:I4"/>
    <mergeCell ref="J3:L4"/>
    <mergeCell ref="A5:A7"/>
    <mergeCell ref="B5:B7"/>
    <mergeCell ref="J27:L28"/>
    <mergeCell ref="C5:C6"/>
    <mergeCell ref="G5:G6"/>
    <mergeCell ref="H5:H6"/>
    <mergeCell ref="C27:I28"/>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F15" sqref="F14:F15"/>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8" t="s">
        <v>174</v>
      </c>
      <c r="B1" s="154" t="str">
        <f>+AMAZONAS!C1</f>
        <v>Vigencia: 16 de Diciembre de 2020; 00:00 horas</v>
      </c>
      <c r="C1" s="154"/>
      <c r="D1" s="269"/>
      <c r="E1" s="269"/>
      <c r="F1" s="269"/>
      <c r="G1" s="269"/>
      <c r="H1" s="269"/>
      <c r="I1" s="269"/>
    </row>
    <row r="2" spans="1:9" ht="15.75" thickBot="1" x14ac:dyDescent="0.3">
      <c r="A2" s="180" t="s">
        <v>202</v>
      </c>
      <c r="B2" s="181"/>
      <c r="C2" s="181"/>
      <c r="D2" s="181"/>
      <c r="E2" s="181"/>
      <c r="F2" s="181"/>
      <c r="G2" s="181"/>
      <c r="H2" s="270"/>
      <c r="I2" s="181"/>
    </row>
    <row r="3" spans="1:9" ht="15.75" thickTop="1" x14ac:dyDescent="0.25">
      <c r="A3" s="212"/>
      <c r="B3" s="183" t="s">
        <v>301</v>
      </c>
      <c r="C3" s="554" t="s">
        <v>203</v>
      </c>
      <c r="D3" s="555"/>
      <c r="E3" s="555"/>
      <c r="F3" s="555"/>
      <c r="G3" s="555"/>
      <c r="H3" s="591" t="s">
        <v>275</v>
      </c>
      <c r="I3" s="593"/>
    </row>
    <row r="4" spans="1:9" ht="92.25" customHeight="1" x14ac:dyDescent="0.25">
      <c r="A4" s="184"/>
      <c r="B4" s="298" t="s">
        <v>302</v>
      </c>
      <c r="C4" s="556"/>
      <c r="D4" s="557"/>
      <c r="E4" s="557"/>
      <c r="F4" s="557"/>
      <c r="G4" s="557"/>
      <c r="H4" s="597"/>
      <c r="I4" s="598"/>
    </row>
    <row r="5" spans="1:9" ht="38.25" customHeight="1" x14ac:dyDescent="0.25">
      <c r="A5" s="562" t="s">
        <v>204</v>
      </c>
      <c r="B5" s="564" t="s">
        <v>205</v>
      </c>
      <c r="C5" s="566" t="s">
        <v>266</v>
      </c>
      <c r="D5" s="186" t="s">
        <v>97</v>
      </c>
      <c r="E5" s="186" t="s">
        <v>194</v>
      </c>
      <c r="F5" s="186" t="str">
        <f>+CESAR!F5</f>
        <v>Biodiesel B10</v>
      </c>
      <c r="G5" s="599" t="s">
        <v>294</v>
      </c>
      <c r="H5" s="305" t="s">
        <v>97</v>
      </c>
      <c r="I5" s="306" t="str">
        <f>+F5</f>
        <v>Biodiesel B10</v>
      </c>
    </row>
    <row r="6" spans="1:9" x14ac:dyDescent="0.25">
      <c r="A6" s="562"/>
      <c r="B6" s="564"/>
      <c r="C6" s="567"/>
      <c r="D6" s="187">
        <v>0.08</v>
      </c>
      <c r="E6" s="205">
        <v>0.02</v>
      </c>
      <c r="F6" s="431">
        <f>+CESAR!F6</f>
        <v>0.1</v>
      </c>
      <c r="G6" s="600"/>
      <c r="H6" s="307">
        <v>0.1</v>
      </c>
      <c r="I6" s="308">
        <f>+F6</f>
        <v>0.1</v>
      </c>
    </row>
    <row r="7" spans="1:9" x14ac:dyDescent="0.25">
      <c r="A7" s="563"/>
      <c r="B7" s="565"/>
      <c r="C7" s="156" t="s">
        <v>206</v>
      </c>
      <c r="D7" s="186" t="s">
        <v>206</v>
      </c>
      <c r="E7" s="186" t="s">
        <v>206</v>
      </c>
      <c r="F7" s="186" t="s">
        <v>206</v>
      </c>
      <c r="G7" s="271" t="s">
        <v>206</v>
      </c>
      <c r="H7" s="305" t="s">
        <v>206</v>
      </c>
      <c r="I7" s="306" t="s">
        <v>206</v>
      </c>
    </row>
    <row r="8" spans="1:9" x14ac:dyDescent="0.25">
      <c r="A8" s="158" t="s">
        <v>207</v>
      </c>
      <c r="B8" s="164" t="s">
        <v>208</v>
      </c>
      <c r="C8" s="290">
        <f>+'Calculo IP ZDF'!B30</f>
        <v>4055.21</v>
      </c>
      <c r="D8" s="290">
        <f>+'Calculo IP ZDF'!G30</f>
        <v>4474.7190000000001</v>
      </c>
      <c r="E8" s="290">
        <f>+'Calculo IP ZDF'!F30</f>
        <v>4474.1974</v>
      </c>
      <c r="F8" s="290">
        <f>+'Calculo IP ZDF'!H30</f>
        <v>5266.59</v>
      </c>
      <c r="G8" s="236">
        <f>+'Calculo IP ZDF'!C30</f>
        <v>4276.1000000000004</v>
      </c>
      <c r="H8" s="311">
        <f>+'GAS CTE'!D9</f>
        <v>4474.72</v>
      </c>
      <c r="I8" s="244">
        <f>+BIODIESEL!G9</f>
        <v>5266.59</v>
      </c>
    </row>
    <row r="9" spans="1:9" x14ac:dyDescent="0.25">
      <c r="A9" s="158" t="s">
        <v>209</v>
      </c>
      <c r="B9" s="164" t="s">
        <v>210</v>
      </c>
      <c r="C9" s="216" t="str">
        <f>+E9</f>
        <v>------------------</v>
      </c>
      <c r="D9" s="216" t="s">
        <v>211</v>
      </c>
      <c r="E9" s="216" t="s">
        <v>211</v>
      </c>
      <c r="F9" s="216" t="s">
        <v>211</v>
      </c>
      <c r="G9" s="274" t="s">
        <v>211</v>
      </c>
      <c r="H9" s="275">
        <f>+'GAS CTE'!D10</f>
        <v>491.63400000000001</v>
      </c>
      <c r="I9" s="237">
        <f>+BIODIESEL!G10</f>
        <v>470.57</v>
      </c>
    </row>
    <row r="10" spans="1:9" x14ac:dyDescent="0.25">
      <c r="A10" s="158"/>
      <c r="B10" s="164" t="s">
        <v>138</v>
      </c>
      <c r="C10" s="216" t="str">
        <f>+E10</f>
        <v>------------------</v>
      </c>
      <c r="D10" s="216" t="s">
        <v>211</v>
      </c>
      <c r="E10" s="216" t="s">
        <v>211</v>
      </c>
      <c r="F10" s="216" t="s">
        <v>211</v>
      </c>
      <c r="G10" s="274" t="s">
        <v>211</v>
      </c>
      <c r="H10" s="275" t="str">
        <f>'[6]CORRIENTE OXIGENADA'!C12</f>
        <v>(3)</v>
      </c>
      <c r="I10" s="237" t="str">
        <f>'[6]CORRIENTE OXIGENADA'!C12</f>
        <v>(3)</v>
      </c>
    </row>
    <row r="11" spans="1:9" x14ac:dyDescent="0.25">
      <c r="A11" s="158"/>
      <c r="B11" s="164" t="s">
        <v>140</v>
      </c>
      <c r="C11" s="276" t="str">
        <f>+VAUPES!C11</f>
        <v>(4)</v>
      </c>
      <c r="D11" s="276" t="str">
        <f>+C11</f>
        <v>(4)</v>
      </c>
      <c r="E11" s="276" t="str">
        <f>+C11</f>
        <v>(4)</v>
      </c>
      <c r="F11" s="276" t="str">
        <f>+C11</f>
        <v>(4)</v>
      </c>
      <c r="G11" s="236" t="str">
        <f>+C11</f>
        <v>(4)</v>
      </c>
      <c r="H11" s="275" t="str">
        <f>+C11</f>
        <v>(4)</v>
      </c>
      <c r="I11" s="237" t="str">
        <f>+D11</f>
        <v>(4)</v>
      </c>
    </row>
    <row r="12" spans="1:9" x14ac:dyDescent="0.25">
      <c r="A12" s="158" t="s">
        <v>212</v>
      </c>
      <c r="B12" s="164" t="s">
        <v>296</v>
      </c>
      <c r="C12" s="293" t="s">
        <v>240</v>
      </c>
      <c r="D12" s="216" t="str">
        <f>+C12</f>
        <v>(2)</v>
      </c>
      <c r="E12" s="216" t="str">
        <f>+C12</f>
        <v>(2)</v>
      </c>
      <c r="F12" s="216" t="str">
        <f>+C12</f>
        <v>(2)</v>
      </c>
      <c r="G12" s="248" t="str">
        <f>+C12</f>
        <v>(2)</v>
      </c>
      <c r="H12" s="275" t="str">
        <f>+C12</f>
        <v>(2)</v>
      </c>
      <c r="I12" s="237" t="str">
        <f>+D12</f>
        <v>(2)</v>
      </c>
    </row>
    <row r="13" spans="1:9" x14ac:dyDescent="0.25">
      <c r="A13" s="158" t="s">
        <v>214</v>
      </c>
      <c r="B13" s="164" t="s">
        <v>215</v>
      </c>
      <c r="C13" s="276">
        <f>+RUBROS!W13</f>
        <v>21.906900579364827</v>
      </c>
      <c r="D13" s="189">
        <f>+C13</f>
        <v>21.906900579364827</v>
      </c>
      <c r="E13" s="189">
        <f>+C13</f>
        <v>21.906900579364827</v>
      </c>
      <c r="F13" s="189">
        <f>+C13</f>
        <v>21.906900579364827</v>
      </c>
      <c r="G13" s="248">
        <f>+C13</f>
        <v>21.906900579364827</v>
      </c>
      <c r="H13" s="273">
        <f>+C13</f>
        <v>21.906900579364827</v>
      </c>
      <c r="I13" s="161">
        <f>+C13</f>
        <v>21.906900579364827</v>
      </c>
    </row>
    <row r="14" spans="1:9" x14ac:dyDescent="0.25">
      <c r="A14" s="158" t="s">
        <v>218</v>
      </c>
      <c r="B14" s="164" t="s">
        <v>219</v>
      </c>
      <c r="C14" s="276">
        <f>+RUBROS!AK43</f>
        <v>12.561430159485083</v>
      </c>
      <c r="D14" s="189">
        <f>+C14</f>
        <v>12.561430159485083</v>
      </c>
      <c r="E14" s="189">
        <f>+C14</f>
        <v>12.561430159485083</v>
      </c>
      <c r="F14" s="189">
        <f>+C14</f>
        <v>12.561430159485083</v>
      </c>
      <c r="G14" s="248">
        <f>+C14</f>
        <v>12.561430159485083</v>
      </c>
      <c r="H14" s="273">
        <f>+C14</f>
        <v>12.561430159485083</v>
      </c>
      <c r="I14" s="161">
        <f>+H14</f>
        <v>12.561430159485083</v>
      </c>
    </row>
    <row r="15" spans="1:9" x14ac:dyDescent="0.25">
      <c r="A15" s="158"/>
      <c r="B15" s="164" t="s">
        <v>220</v>
      </c>
      <c r="C15" s="276">
        <f>+'GAS CTE'!C16</f>
        <v>71.510000000000005</v>
      </c>
      <c r="D15" s="189">
        <f>+C15</f>
        <v>71.510000000000005</v>
      </c>
      <c r="E15" s="189">
        <f>+C15</f>
        <v>71.510000000000005</v>
      </c>
      <c r="F15" s="189">
        <f>+C15</f>
        <v>71.510000000000005</v>
      </c>
      <c r="G15" s="248">
        <f>+C15</f>
        <v>71.510000000000005</v>
      </c>
      <c r="H15" s="273">
        <f>+C15</f>
        <v>71.510000000000005</v>
      </c>
      <c r="I15" s="161">
        <f>+C15</f>
        <v>71.510000000000005</v>
      </c>
    </row>
    <row r="16" spans="1:9" x14ac:dyDescent="0.25">
      <c r="A16" s="165" t="s">
        <v>221</v>
      </c>
      <c r="B16" s="196" t="s">
        <v>222</v>
      </c>
      <c r="C16" s="277">
        <f>SUM(C8:C15)</f>
        <v>4161.1883307388498</v>
      </c>
      <c r="D16" s="277">
        <f t="shared" ref="D16:I16" si="0">SUM(D8:D15)</f>
        <v>4580.6973307388498</v>
      </c>
      <c r="E16" s="277">
        <f t="shared" si="0"/>
        <v>4580.1757307388498</v>
      </c>
      <c r="F16" s="277">
        <f t="shared" si="0"/>
        <v>5372.5683307388499</v>
      </c>
      <c r="G16" s="278">
        <f t="shared" si="0"/>
        <v>4382.0783307388501</v>
      </c>
      <c r="H16" s="279">
        <f t="shared" si="0"/>
        <v>5072.33233073885</v>
      </c>
      <c r="I16" s="280">
        <f t="shared" si="0"/>
        <v>5843.1383307388496</v>
      </c>
    </row>
    <row r="17" spans="1:9" x14ac:dyDescent="0.25">
      <c r="A17" s="158" t="s">
        <v>223</v>
      </c>
      <c r="B17" s="164" t="s">
        <v>290</v>
      </c>
      <c r="C17" s="294" t="s">
        <v>255</v>
      </c>
      <c r="D17" s="189" t="str">
        <f>+C17</f>
        <v>***</v>
      </c>
      <c r="E17" s="189" t="str">
        <f>+C17</f>
        <v>***</v>
      </c>
      <c r="F17" s="189" t="str">
        <f>+E17</f>
        <v>***</v>
      </c>
      <c r="G17" s="248" t="str">
        <f>+E17</f>
        <v>***</v>
      </c>
      <c r="H17" s="273" t="str">
        <f>+G17</f>
        <v>***</v>
      </c>
      <c r="I17" s="161" t="str">
        <f>+G17</f>
        <v>***</v>
      </c>
    </row>
    <row r="18" spans="1:9" x14ac:dyDescent="0.25">
      <c r="A18" s="158" t="s">
        <v>225</v>
      </c>
      <c r="B18" s="164" t="s">
        <v>226</v>
      </c>
      <c r="C18" s="293" t="s">
        <v>253</v>
      </c>
      <c r="D18" s="189" t="str">
        <f>+C18</f>
        <v>**</v>
      </c>
      <c r="E18" s="189" t="str">
        <f>+C18</f>
        <v>**</v>
      </c>
      <c r="F18" s="189" t="str">
        <f>+C18</f>
        <v>**</v>
      </c>
      <c r="G18" s="248" t="str">
        <f>+C18</f>
        <v>**</v>
      </c>
      <c r="H18" s="273" t="str">
        <f>+C18</f>
        <v>**</v>
      </c>
      <c r="I18" s="161" t="str">
        <f>+H18</f>
        <v>**</v>
      </c>
    </row>
    <row r="19" spans="1:9" x14ac:dyDescent="0.25">
      <c r="A19" s="158" t="s">
        <v>227</v>
      </c>
      <c r="B19" s="235" t="s">
        <v>145</v>
      </c>
      <c r="C19" s="281" t="str">
        <f>+E19</f>
        <v>****</v>
      </c>
      <c r="D19" s="189" t="str">
        <f t="shared" ref="D19:D21" si="1">+E19</f>
        <v>****</v>
      </c>
      <c r="E19" s="195" t="str">
        <f>+A37</f>
        <v>****</v>
      </c>
      <c r="F19" s="195" t="str">
        <f>+E19</f>
        <v>****</v>
      </c>
      <c r="G19" s="236" t="str">
        <f>+A37</f>
        <v>****</v>
      </c>
      <c r="H19" s="296" t="str">
        <f>C19</f>
        <v>****</v>
      </c>
      <c r="I19" s="161" t="str">
        <f>+H19</f>
        <v>****</v>
      </c>
    </row>
    <row r="20" spans="1:9" x14ac:dyDescent="0.25">
      <c r="A20" s="165" t="s">
        <v>229</v>
      </c>
      <c r="B20" s="196" t="s">
        <v>230</v>
      </c>
      <c r="C20" s="282">
        <f t="shared" ref="C20:I20" si="2">+C16</f>
        <v>4161.1883307388498</v>
      </c>
      <c r="D20" s="197">
        <f t="shared" si="2"/>
        <v>4580.6973307388498</v>
      </c>
      <c r="E20" s="197">
        <f t="shared" si="2"/>
        <v>4580.1757307388498</v>
      </c>
      <c r="F20" s="197">
        <f t="shared" si="2"/>
        <v>5372.5683307388499</v>
      </c>
      <c r="G20" s="249">
        <f t="shared" si="2"/>
        <v>4382.0783307388501</v>
      </c>
      <c r="H20" s="279">
        <f t="shared" si="2"/>
        <v>5072.33233073885</v>
      </c>
      <c r="I20" s="167">
        <f t="shared" si="2"/>
        <v>5843.1383307388496</v>
      </c>
    </row>
    <row r="21" spans="1:9" x14ac:dyDescent="0.25">
      <c r="A21" s="158" t="s">
        <v>231</v>
      </c>
      <c r="B21" s="164" t="s">
        <v>176</v>
      </c>
      <c r="C21" s="276" t="str">
        <f>+E21</f>
        <v>***</v>
      </c>
      <c r="D21" s="189" t="str">
        <f t="shared" si="1"/>
        <v>***</v>
      </c>
      <c r="E21" s="189" t="str">
        <f t="shared" ref="E21" si="3">+E17</f>
        <v>***</v>
      </c>
      <c r="F21" s="189" t="str">
        <f>+E21</f>
        <v>***</v>
      </c>
      <c r="G21" s="248" t="str">
        <f>+G17</f>
        <v>***</v>
      </c>
      <c r="H21" s="273" t="str">
        <f>+G21</f>
        <v>***</v>
      </c>
      <c r="I21" s="161" t="str">
        <f>+C21</f>
        <v>***</v>
      </c>
    </row>
    <row r="22" spans="1:9" x14ac:dyDescent="0.25">
      <c r="A22" s="158" t="s">
        <v>232</v>
      </c>
      <c r="B22" s="159" t="s">
        <v>233</v>
      </c>
      <c r="C22" s="283" t="s">
        <v>259</v>
      </c>
      <c r="D22" s="189" t="str">
        <f>+C22</f>
        <v>*****</v>
      </c>
      <c r="E22" s="189" t="s">
        <v>234</v>
      </c>
      <c r="F22" s="189" t="str">
        <f>+E22</f>
        <v>N.A</v>
      </c>
      <c r="G22" s="248" t="s">
        <v>234</v>
      </c>
      <c r="H22" s="273" t="str">
        <f>+D22</f>
        <v>*****</v>
      </c>
      <c r="I22" s="161" t="s">
        <v>279</v>
      </c>
    </row>
    <row r="23" spans="1:9" ht="24.75" customHeight="1" x14ac:dyDescent="0.25">
      <c r="A23" s="158" t="s">
        <v>235</v>
      </c>
      <c r="B23" s="159" t="s">
        <v>236</v>
      </c>
      <c r="C23" s="283" t="s">
        <v>261</v>
      </c>
      <c r="D23" s="189" t="str">
        <f>+C23</f>
        <v>******</v>
      </c>
      <c r="E23" s="189" t="str">
        <f>+C23</f>
        <v>******</v>
      </c>
      <c r="F23" s="189" t="str">
        <f>+C23</f>
        <v>******</v>
      </c>
      <c r="G23" s="248" t="str">
        <f>+C23</f>
        <v>******</v>
      </c>
      <c r="H23" s="312" t="str">
        <f>+C23</f>
        <v>******</v>
      </c>
      <c r="I23" s="313" t="str">
        <f>+C23</f>
        <v>******</v>
      </c>
    </row>
    <row r="24" spans="1:9" ht="15.75" thickBot="1" x14ac:dyDescent="0.3">
      <c r="A24" s="169" t="s">
        <v>237</v>
      </c>
      <c r="B24" s="170" t="s">
        <v>238</v>
      </c>
      <c r="C24" s="284"/>
      <c r="D24" s="199"/>
      <c r="E24" s="199"/>
      <c r="F24" s="199"/>
      <c r="G24" s="250"/>
      <c r="H24" s="309"/>
      <c r="I24" s="310"/>
    </row>
    <row r="25" spans="1:9" ht="15.75" thickTop="1" x14ac:dyDescent="0.25">
      <c r="A25" s="174"/>
      <c r="B25" s="175"/>
      <c r="C25" s="175"/>
      <c r="D25" s="176"/>
      <c r="E25" s="176"/>
      <c r="F25" s="176"/>
      <c r="G25" s="176"/>
      <c r="H25" s="176"/>
      <c r="I25" s="176"/>
    </row>
    <row r="26" spans="1:9" x14ac:dyDescent="0.25">
      <c r="A26" s="174"/>
      <c r="B26" s="175"/>
      <c r="C26" s="175"/>
      <c r="D26" s="176"/>
      <c r="E26" s="176"/>
      <c r="F26" s="176"/>
      <c r="G26" s="176"/>
      <c r="H26" s="176"/>
      <c r="I26" s="176"/>
    </row>
    <row r="27" spans="1:9" ht="15" customHeight="1" x14ac:dyDescent="0.25">
      <c r="A27" s="174"/>
      <c r="B27" s="292" t="s">
        <v>251</v>
      </c>
      <c r="C27" s="175"/>
      <c r="D27" s="176"/>
      <c r="E27" s="176"/>
      <c r="F27" s="176"/>
      <c r="G27" s="176"/>
      <c r="H27" s="176"/>
      <c r="I27" s="176"/>
    </row>
    <row r="28" spans="1:9" x14ac:dyDescent="0.25">
      <c r="A28" s="174"/>
      <c r="B28" s="175"/>
      <c r="C28" s="175"/>
      <c r="D28" s="176"/>
      <c r="E28" s="176"/>
      <c r="F28" s="176"/>
      <c r="G28" s="176"/>
      <c r="H28" s="176"/>
      <c r="I28" s="176"/>
    </row>
    <row r="29" spans="1:9" ht="19.5" customHeight="1" x14ac:dyDescent="0.25">
      <c r="A29" s="177" t="s">
        <v>213</v>
      </c>
      <c r="B29" s="571" t="str">
        <f>+CESAR!B53</f>
        <v>De acuerdo con lo establecido en la Resolución MME 91349 de 2014</v>
      </c>
      <c r="C29" s="571"/>
      <c r="D29" s="571"/>
      <c r="E29" s="571"/>
      <c r="F29" s="571"/>
      <c r="G29" s="571"/>
      <c r="H29" s="571"/>
      <c r="I29" s="176"/>
    </row>
    <row r="30" spans="1:9" ht="24.75" customHeight="1" x14ac:dyDescent="0.25">
      <c r="A30" s="177" t="s">
        <v>240</v>
      </c>
      <c r="B30" s="568" t="s">
        <v>297</v>
      </c>
      <c r="C30" s="568"/>
      <c r="D30" s="568"/>
      <c r="E30" s="568"/>
      <c r="F30" s="568"/>
      <c r="G30" s="568"/>
      <c r="H30" s="568"/>
      <c r="I30" s="568"/>
    </row>
    <row r="31" spans="1:9" ht="52.5" customHeight="1" x14ac:dyDescent="0.25">
      <c r="A31" s="177" t="s">
        <v>139</v>
      </c>
      <c r="B31" s="568" t="s">
        <v>365</v>
      </c>
      <c r="C31" s="568"/>
      <c r="D31" s="568"/>
      <c r="E31" s="568"/>
      <c r="F31" s="568"/>
      <c r="G31" s="568"/>
      <c r="H31" s="568"/>
      <c r="I31" s="568"/>
    </row>
    <row r="32" spans="1:9" ht="52.5" customHeight="1" x14ac:dyDescent="0.25">
      <c r="A32" s="203" t="s">
        <v>241</v>
      </c>
      <c r="B32" s="570" t="s">
        <v>445</v>
      </c>
      <c r="C32" s="570"/>
      <c r="D32" s="570"/>
      <c r="E32" s="570"/>
      <c r="F32" s="570"/>
      <c r="G32" s="570"/>
      <c r="H32" s="570"/>
      <c r="I32" s="570"/>
    </row>
    <row r="33" spans="1:10" x14ac:dyDescent="0.25">
      <c r="A33" s="177"/>
      <c r="B33" s="200" t="s">
        <v>174</v>
      </c>
      <c r="C33" s="200"/>
      <c r="D33" s="232"/>
      <c r="E33" s="232"/>
      <c r="F33" s="232"/>
      <c r="G33" s="232"/>
      <c r="H33" s="232"/>
      <c r="I33" s="232"/>
    </row>
    <row r="34" spans="1:10" x14ac:dyDescent="0.25">
      <c r="A34" s="201" t="s">
        <v>104</v>
      </c>
      <c r="B34" s="569" t="s">
        <v>252</v>
      </c>
      <c r="C34" s="569"/>
      <c r="D34" s="569"/>
      <c r="E34" s="569"/>
      <c r="F34" s="569"/>
      <c r="G34" s="569"/>
      <c r="H34" s="569"/>
      <c r="I34" s="287"/>
    </row>
    <row r="35" spans="1:10" ht="15" customHeight="1" x14ac:dyDescent="0.25">
      <c r="A35" s="201" t="s">
        <v>253</v>
      </c>
      <c r="B35" s="569" t="s">
        <v>287</v>
      </c>
      <c r="C35" s="569"/>
      <c r="D35" s="569"/>
      <c r="E35" s="569"/>
      <c r="F35" s="569"/>
      <c r="G35" s="569"/>
      <c r="H35" s="569"/>
      <c r="I35" s="569"/>
    </row>
    <row r="36" spans="1:10" ht="26.25" customHeight="1" x14ac:dyDescent="0.25">
      <c r="A36" s="201" t="s">
        <v>255</v>
      </c>
      <c r="B36" s="568" t="s">
        <v>298</v>
      </c>
      <c r="C36" s="568"/>
      <c r="D36" s="568"/>
      <c r="E36" s="568"/>
      <c r="F36" s="568"/>
      <c r="G36" s="568"/>
      <c r="H36" s="568"/>
      <c r="I36" s="568"/>
    </row>
    <row r="37" spans="1:10" x14ac:dyDescent="0.25">
      <c r="A37" s="201" t="s">
        <v>257</v>
      </c>
      <c r="B37" s="569" t="s">
        <v>292</v>
      </c>
      <c r="C37" s="569"/>
      <c r="D37" s="569"/>
      <c r="E37" s="569"/>
      <c r="F37" s="569"/>
      <c r="G37" s="569"/>
      <c r="H37" s="569"/>
      <c r="I37" s="569"/>
    </row>
    <row r="38" spans="1:10" x14ac:dyDescent="0.25">
      <c r="A38" s="201" t="s">
        <v>259</v>
      </c>
      <c r="B38" s="568" t="s">
        <v>262</v>
      </c>
      <c r="C38" s="568"/>
      <c r="D38" s="568"/>
      <c r="E38" s="568"/>
      <c r="F38" s="568"/>
      <c r="G38" s="568"/>
      <c r="H38" s="568"/>
      <c r="I38" s="568"/>
    </row>
    <row r="39" spans="1:10" x14ac:dyDescent="0.25">
      <c r="A39" s="201" t="s">
        <v>261</v>
      </c>
      <c r="B39" s="569" t="s">
        <v>293</v>
      </c>
      <c r="C39" s="569"/>
      <c r="D39" s="569"/>
      <c r="E39" s="569"/>
      <c r="F39" s="569"/>
      <c r="G39" s="569"/>
      <c r="H39" s="569"/>
      <c r="I39" s="569"/>
    </row>
    <row r="40" spans="1:10" x14ac:dyDescent="0.25">
      <c r="A40" s="268"/>
      <c r="B40" s="269"/>
      <c r="C40" s="269"/>
      <c r="D40" s="269"/>
      <c r="E40" s="269"/>
      <c r="F40" s="269"/>
      <c r="G40" s="269"/>
      <c r="H40" s="269"/>
      <c r="I40" s="269"/>
    </row>
    <row r="41" spans="1:10" ht="88.5" customHeight="1" x14ac:dyDescent="0.25">
      <c r="A41" s="573" t="s">
        <v>163</v>
      </c>
      <c r="B41" s="573"/>
      <c r="C41" s="573"/>
      <c r="D41" s="573"/>
      <c r="E41" s="573"/>
      <c r="F41" s="573"/>
      <c r="G41" s="573"/>
      <c r="H41" s="573"/>
      <c r="I41" s="573"/>
      <c r="J41" s="573"/>
    </row>
  </sheetData>
  <sheetProtection password="C712" sheet="1" objects="1" scenarios="1"/>
  <mergeCells count="17">
    <mergeCell ref="B38:I38"/>
    <mergeCell ref="B32:I32"/>
    <mergeCell ref="A41:J41"/>
    <mergeCell ref="B36:I36"/>
    <mergeCell ref="B37:I37"/>
    <mergeCell ref="B39:I39"/>
    <mergeCell ref="B34:H34"/>
    <mergeCell ref="B35:I35"/>
    <mergeCell ref="C3:G4"/>
    <mergeCell ref="H3:I4"/>
    <mergeCell ref="B31:I31"/>
    <mergeCell ref="A5:A7"/>
    <mergeCell ref="B5:B7"/>
    <mergeCell ref="C5:C6"/>
    <mergeCell ref="G5:G6"/>
    <mergeCell ref="B30:I30"/>
    <mergeCell ref="B29:H29"/>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F15" sqref="F15"/>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16 de Diciembre de 2020; 00:00 horas</v>
      </c>
    </row>
    <row r="2" spans="1:8" ht="15.75" thickBot="1" x14ac:dyDescent="0.3">
      <c r="A2" s="180" t="s">
        <v>202</v>
      </c>
      <c r="B2" s="180"/>
    </row>
    <row r="3" spans="1:8" ht="15.75" customHeight="1" thickTop="1" x14ac:dyDescent="0.25">
      <c r="A3" s="212"/>
      <c r="B3" s="213" t="s">
        <v>303</v>
      </c>
      <c r="C3" s="574" t="s">
        <v>203</v>
      </c>
      <c r="D3" s="575"/>
      <c r="E3" s="575"/>
      <c r="F3" s="576"/>
      <c r="G3" s="580" t="s">
        <v>275</v>
      </c>
      <c r="H3" s="581"/>
    </row>
    <row r="4" spans="1:8" x14ac:dyDescent="0.25">
      <c r="A4" s="155"/>
      <c r="B4" s="314" t="s">
        <v>304</v>
      </c>
      <c r="C4" s="577"/>
      <c r="D4" s="578"/>
      <c r="E4" s="578"/>
      <c r="F4" s="579"/>
      <c r="G4" s="582"/>
      <c r="H4" s="583"/>
    </row>
    <row r="5" spans="1:8" ht="38.25" customHeight="1" x14ac:dyDescent="0.25">
      <c r="A5" s="562" t="s">
        <v>204</v>
      </c>
      <c r="B5" s="564" t="s">
        <v>205</v>
      </c>
      <c r="C5" s="566" t="s">
        <v>266</v>
      </c>
      <c r="D5" s="186" t="s">
        <v>97</v>
      </c>
      <c r="E5" s="186" t="s">
        <v>194</v>
      </c>
      <c r="F5" s="186" t="str">
        <f>+CHOCO!F5</f>
        <v>Biodiesel B10</v>
      </c>
      <c r="G5" s="186" t="s">
        <v>97</v>
      </c>
      <c r="H5" s="252" t="str">
        <f>+F5</f>
        <v>Biodiesel B10</v>
      </c>
    </row>
    <row r="6" spans="1:8" x14ac:dyDescent="0.25">
      <c r="A6" s="562"/>
      <c r="B6" s="564"/>
      <c r="C6" s="567"/>
      <c r="D6" s="187">
        <v>0.08</v>
      </c>
      <c r="E6" s="205">
        <v>0.02</v>
      </c>
      <c r="F6" s="431">
        <f>+CHOCO!F6</f>
        <v>0.1</v>
      </c>
      <c r="G6" s="205">
        <v>0.1</v>
      </c>
      <c r="H6" s="188">
        <f>+F6</f>
        <v>0.1</v>
      </c>
    </row>
    <row r="7" spans="1:8" x14ac:dyDescent="0.25">
      <c r="A7" s="563"/>
      <c r="B7" s="565"/>
      <c r="C7" s="156" t="s">
        <v>206</v>
      </c>
      <c r="D7" s="186" t="s">
        <v>206</v>
      </c>
      <c r="E7" s="186" t="s">
        <v>206</v>
      </c>
      <c r="F7" s="186" t="s">
        <v>206</v>
      </c>
      <c r="G7" s="156" t="s">
        <v>206</v>
      </c>
      <c r="H7" s="252" t="s">
        <v>206</v>
      </c>
    </row>
    <row r="8" spans="1:8" x14ac:dyDescent="0.25">
      <c r="A8" s="158" t="s">
        <v>207</v>
      </c>
      <c r="B8" s="164" t="s">
        <v>208</v>
      </c>
      <c r="C8" s="230">
        <f>+'Calculo IP ZDF'!B31</f>
        <v>4055.21</v>
      </c>
      <c r="D8" s="236">
        <f>+'Calculo IP ZDF'!G31</f>
        <v>4474.7190000000001</v>
      </c>
      <c r="E8" s="238">
        <f>+'Calculo IP ZDF'!F31</f>
        <v>4371.5282390000002</v>
      </c>
      <c r="F8" s="237">
        <f>+'Calculo IP ZDF'!H31</f>
        <v>5172.3019950000007</v>
      </c>
      <c r="G8" s="215">
        <f>+'GAS CTE'!D9</f>
        <v>4474.72</v>
      </c>
      <c r="H8" s="240">
        <f>+BIODIESEL!G9</f>
        <v>5266.59</v>
      </c>
    </row>
    <row r="9" spans="1:8" x14ac:dyDescent="0.25">
      <c r="A9" s="158" t="s">
        <v>209</v>
      </c>
      <c r="B9" s="164" t="s">
        <v>210</v>
      </c>
      <c r="C9" s="216" t="str">
        <f t="shared" ref="C9:C13"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93" t="s">
        <v>241</v>
      </c>
      <c r="D11" s="217" t="str">
        <f>+C11</f>
        <v>(4)</v>
      </c>
      <c r="E11" s="217" t="str">
        <f>+C11</f>
        <v>(4)</v>
      </c>
      <c r="F11" s="161" t="str">
        <f>+C11</f>
        <v>(4)</v>
      </c>
      <c r="G11" s="215" t="str">
        <f>+D11</f>
        <v>(4)</v>
      </c>
      <c r="H11" s="237" t="str">
        <f>+F11</f>
        <v>(4)</v>
      </c>
    </row>
    <row r="12" spans="1:8" ht="19.5" customHeight="1" x14ac:dyDescent="0.25">
      <c r="A12" s="158" t="s">
        <v>212</v>
      </c>
      <c r="B12" s="164" t="s">
        <v>296</v>
      </c>
      <c r="C12" s="216" t="str">
        <f>+AMAZONAS!C12</f>
        <v>(2)</v>
      </c>
      <c r="D12" s="162" t="s">
        <v>240</v>
      </c>
      <c r="E12" s="162" t="s">
        <v>240</v>
      </c>
      <c r="F12" s="161" t="s">
        <v>240</v>
      </c>
      <c r="G12" s="215" t="str">
        <f>+F12</f>
        <v>(2)</v>
      </c>
      <c r="H12" s="240" t="s">
        <v>240</v>
      </c>
    </row>
    <row r="13" spans="1:8" x14ac:dyDescent="0.25">
      <c r="A13" s="158" t="s">
        <v>277</v>
      </c>
      <c r="B13" s="164" t="s">
        <v>278</v>
      </c>
      <c r="C13" s="216" t="str">
        <f t="shared" si="0"/>
        <v>N.A.</v>
      </c>
      <c r="D13" s="162" t="s">
        <v>279</v>
      </c>
      <c r="E13" s="217" t="s">
        <v>241</v>
      </c>
      <c r="F13" s="163" t="str">
        <f>+E13</f>
        <v>(4)</v>
      </c>
      <c r="G13" s="215" t="s">
        <v>279</v>
      </c>
      <c r="H13" s="237" t="str">
        <f>+F13</f>
        <v>(4)</v>
      </c>
    </row>
    <row r="14" spans="1:8" x14ac:dyDescent="0.25">
      <c r="A14" s="158" t="s">
        <v>214</v>
      </c>
      <c r="B14" s="164" t="s">
        <v>215</v>
      </c>
      <c r="C14" s="216">
        <f>+RUBROS!W16</f>
        <v>10.13543305493382</v>
      </c>
      <c r="D14" s="162">
        <f>+C14</f>
        <v>10.13543305493382</v>
      </c>
      <c r="E14" s="162">
        <f>+C14</f>
        <v>10.13543305493382</v>
      </c>
      <c r="F14" s="161">
        <f>+C14</f>
        <v>10.13543305493382</v>
      </c>
      <c r="G14" s="215">
        <f>+RUBROS!X16</f>
        <v>21.906900579364827</v>
      </c>
      <c r="H14" s="240">
        <f>+G14</f>
        <v>21.906900579364827</v>
      </c>
    </row>
    <row r="15" spans="1:8" x14ac:dyDescent="0.25">
      <c r="A15" s="158" t="s">
        <v>216</v>
      </c>
      <c r="B15" s="164" t="s">
        <v>217</v>
      </c>
      <c r="C15" s="216">
        <f>+RUBROS!W52</f>
        <v>104.89393330283374</v>
      </c>
      <c r="D15" s="162">
        <f>+C15</f>
        <v>104.89393330283374</v>
      </c>
      <c r="E15" s="162">
        <f>+C15</f>
        <v>104.89393330283374</v>
      </c>
      <c r="F15" s="161">
        <f>+C15</f>
        <v>104.89393330283374</v>
      </c>
      <c r="G15" s="215">
        <f>+C15</f>
        <v>104.89393330283374</v>
      </c>
      <c r="H15" s="240">
        <f>+C15</f>
        <v>104.89393330283374</v>
      </c>
    </row>
    <row r="16" spans="1:8" x14ac:dyDescent="0.25">
      <c r="A16" s="158" t="s">
        <v>218</v>
      </c>
      <c r="B16" s="235" t="s">
        <v>219</v>
      </c>
      <c r="C16" s="216">
        <f>+RUBROS!AK30</f>
        <v>12.561430159485083</v>
      </c>
      <c r="D16" s="162">
        <f>+C16</f>
        <v>12.561430159485083</v>
      </c>
      <c r="E16" s="218">
        <f>+C16</f>
        <v>12.561430159485083</v>
      </c>
      <c r="F16" s="161">
        <f>+C16</f>
        <v>12.561430159485083</v>
      </c>
      <c r="G16" s="215">
        <f>+C16</f>
        <v>12.561430159485083</v>
      </c>
      <c r="H16" s="240">
        <f>+C16</f>
        <v>12.561430159485083</v>
      </c>
    </row>
    <row r="17" spans="1:16" x14ac:dyDescent="0.25">
      <c r="A17" s="158"/>
      <c r="B17" s="164" t="s">
        <v>220</v>
      </c>
      <c r="C17" s="216">
        <f>+'GAS CTE'!C16</f>
        <v>71.510000000000005</v>
      </c>
      <c r="D17" s="219">
        <f>+C17</f>
        <v>71.510000000000005</v>
      </c>
      <c r="E17" s="220">
        <f>+C17</f>
        <v>71.510000000000005</v>
      </c>
      <c r="F17" s="161">
        <f>+C17</f>
        <v>71.510000000000005</v>
      </c>
      <c r="G17" s="215">
        <f>+C17</f>
        <v>71.510000000000005</v>
      </c>
      <c r="H17" s="242">
        <f>+C17</f>
        <v>71.510000000000005</v>
      </c>
    </row>
    <row r="18" spans="1:16" x14ac:dyDescent="0.25">
      <c r="A18" s="165" t="s">
        <v>221</v>
      </c>
      <c r="B18" s="196" t="s">
        <v>222</v>
      </c>
      <c r="C18" s="221">
        <f t="shared" ref="C18:H18" si="1">SUM(C8:C17)</f>
        <v>4254.310796517253</v>
      </c>
      <c r="D18" s="222">
        <f>SUM(D8:D17)</f>
        <v>4673.8197965172531</v>
      </c>
      <c r="E18" s="222">
        <f t="shared" si="1"/>
        <v>4570.6290355172532</v>
      </c>
      <c r="F18" s="223">
        <f t="shared" si="1"/>
        <v>5371.4027915172537</v>
      </c>
      <c r="G18" s="224">
        <f t="shared" si="1"/>
        <v>5177.2262640416839</v>
      </c>
      <c r="H18" s="243">
        <f t="shared" si="1"/>
        <v>5948.0322640416834</v>
      </c>
    </row>
    <row r="19" spans="1:16" x14ac:dyDescent="0.25">
      <c r="A19" s="158" t="s">
        <v>223</v>
      </c>
      <c r="B19" s="164" t="s">
        <v>224</v>
      </c>
      <c r="C19" s="216" t="s">
        <v>255</v>
      </c>
      <c r="D19" s="225" t="str">
        <f>+C19</f>
        <v>***</v>
      </c>
      <c r="E19" s="225" t="str">
        <f>+C19</f>
        <v>***</v>
      </c>
      <c r="F19" s="161" t="str">
        <f>+C19</f>
        <v>***</v>
      </c>
      <c r="G19" s="218" t="str">
        <f>+H19</f>
        <v>***</v>
      </c>
      <c r="H19" s="244" t="s">
        <v>255</v>
      </c>
    </row>
    <row r="20" spans="1:16" x14ac:dyDescent="0.25">
      <c r="A20" s="158" t="s">
        <v>225</v>
      </c>
      <c r="B20" s="164" t="s">
        <v>226</v>
      </c>
      <c r="C20" s="216" t="str">
        <f>+D20</f>
        <v>**</v>
      </c>
      <c r="D20" s="226" t="s">
        <v>253</v>
      </c>
      <c r="E20" s="226" t="s">
        <v>253</v>
      </c>
      <c r="F20" s="161" t="s">
        <v>253</v>
      </c>
      <c r="G20" s="218" t="str">
        <f>+H20</f>
        <v>**</v>
      </c>
      <c r="H20" s="237" t="s">
        <v>253</v>
      </c>
    </row>
    <row r="21" spans="1:16" x14ac:dyDescent="0.25">
      <c r="A21" s="158" t="s">
        <v>227</v>
      </c>
      <c r="B21" s="164" t="s">
        <v>228</v>
      </c>
      <c r="C21" s="216" t="str">
        <f>+D21</f>
        <v>****</v>
      </c>
      <c r="D21" s="162" t="s">
        <v>257</v>
      </c>
      <c r="E21" s="162" t="str">
        <f>+D21</f>
        <v>****</v>
      </c>
      <c r="F21" s="161" t="str">
        <f>+E21</f>
        <v>****</v>
      </c>
      <c r="G21" s="218" t="str">
        <f>+F21</f>
        <v>****</v>
      </c>
      <c r="H21" s="240" t="str">
        <f>+F21</f>
        <v>****</v>
      </c>
    </row>
    <row r="22" spans="1:16" x14ac:dyDescent="0.25">
      <c r="A22" s="165" t="s">
        <v>229</v>
      </c>
      <c r="B22" s="196" t="s">
        <v>230</v>
      </c>
      <c r="C22" s="221">
        <f>+C18</f>
        <v>4254.310796517253</v>
      </c>
      <c r="D22" s="221">
        <f t="shared" ref="D22:H22" si="2">+D18</f>
        <v>4673.8197965172531</v>
      </c>
      <c r="E22" s="221">
        <f t="shared" si="2"/>
        <v>4570.6290355172532</v>
      </c>
      <c r="F22" s="239">
        <f t="shared" si="2"/>
        <v>5371.4027915172537</v>
      </c>
      <c r="G22" s="221">
        <f t="shared" si="2"/>
        <v>5177.2262640416839</v>
      </c>
      <c r="H22" s="239">
        <f t="shared" si="2"/>
        <v>5948.0322640416834</v>
      </c>
    </row>
    <row r="23" spans="1:16" x14ac:dyDescent="0.25">
      <c r="A23" s="158" t="s">
        <v>231</v>
      </c>
      <c r="B23" s="164" t="s">
        <v>176</v>
      </c>
      <c r="C23" s="216" t="s">
        <v>255</v>
      </c>
      <c r="D23" s="162" t="str">
        <f>+C23</f>
        <v>***</v>
      </c>
      <c r="E23" s="162" t="str">
        <f>+D23</f>
        <v>***</v>
      </c>
      <c r="F23" s="161" t="str">
        <f>+E23</f>
        <v>***</v>
      </c>
      <c r="G23" s="218" t="str">
        <f>+H23</f>
        <v>***</v>
      </c>
      <c r="H23" s="240" t="s">
        <v>255</v>
      </c>
    </row>
    <row r="24" spans="1:16" x14ac:dyDescent="0.25">
      <c r="A24" s="158" t="s">
        <v>232</v>
      </c>
      <c r="B24" s="159" t="s">
        <v>233</v>
      </c>
      <c r="C24" s="216" t="str">
        <f>+D24</f>
        <v>*****</v>
      </c>
      <c r="D24" s="162" t="s">
        <v>259</v>
      </c>
      <c r="E24" s="162" t="s">
        <v>279</v>
      </c>
      <c r="F24" s="161" t="s">
        <v>234</v>
      </c>
      <c r="G24" s="218" t="str">
        <f>+D24</f>
        <v>*****</v>
      </c>
      <c r="H24" s="240" t="s">
        <v>280</v>
      </c>
    </row>
    <row r="25" spans="1:16" x14ac:dyDescent="0.25">
      <c r="A25" s="158" t="s">
        <v>235</v>
      </c>
      <c r="B25" s="164" t="s">
        <v>236</v>
      </c>
      <c r="C25" s="216" t="str">
        <f>+D25</f>
        <v>******</v>
      </c>
      <c r="D25" s="226" t="s">
        <v>261</v>
      </c>
      <c r="E25" s="226" t="str">
        <f>+D25</f>
        <v>******</v>
      </c>
      <c r="F25" s="163" t="str">
        <f>+E25</f>
        <v>******</v>
      </c>
      <c r="G25" s="218" t="str">
        <f>+F25</f>
        <v>******</v>
      </c>
      <c r="H25" s="237" t="str">
        <f>+G25</f>
        <v>******</v>
      </c>
    </row>
    <row r="26" spans="1:16" ht="15.75" thickBot="1" x14ac:dyDescent="0.3">
      <c r="A26" s="169" t="s">
        <v>237</v>
      </c>
      <c r="B26" s="170" t="s">
        <v>238</v>
      </c>
      <c r="C26" s="227"/>
      <c r="D26" s="173"/>
      <c r="E26" s="228"/>
      <c r="F26" s="172"/>
      <c r="G26" s="228"/>
      <c r="H26" s="245"/>
    </row>
    <row r="27" spans="1:16" ht="15.75" thickTop="1" x14ac:dyDescent="0.25"/>
    <row r="28" spans="1:16" x14ac:dyDescent="0.25">
      <c r="A28" s="177"/>
      <c r="B28" s="292" t="s">
        <v>251</v>
      </c>
      <c r="C28" s="232"/>
      <c r="D28" s="232"/>
      <c r="E28" s="232"/>
      <c r="F28" s="232"/>
      <c r="G28" s="211"/>
      <c r="H28" s="211"/>
      <c r="I28" s="211"/>
      <c r="J28" s="211"/>
      <c r="K28" s="211"/>
      <c r="L28" s="211"/>
      <c r="M28" s="211"/>
      <c r="N28" s="211"/>
      <c r="O28" s="211"/>
      <c r="P28" s="211"/>
    </row>
    <row r="29" spans="1:16" x14ac:dyDescent="0.25">
      <c r="A29" s="177"/>
      <c r="B29" s="200"/>
      <c r="C29" s="232"/>
      <c r="D29" s="232"/>
      <c r="E29" s="232"/>
      <c r="F29" s="232"/>
      <c r="G29" s="211"/>
      <c r="H29" s="211"/>
      <c r="I29" s="211"/>
      <c r="J29" s="211"/>
      <c r="K29" s="211"/>
      <c r="L29" s="211"/>
      <c r="M29" s="211"/>
      <c r="N29" s="211"/>
      <c r="O29" s="211"/>
      <c r="P29" s="211"/>
    </row>
    <row r="30" spans="1:16" ht="15" customHeight="1" x14ac:dyDescent="0.25">
      <c r="A30" s="177" t="s">
        <v>213</v>
      </c>
      <c r="B30" s="571" t="str">
        <f>+CHOCO!B29</f>
        <v>De acuerdo con lo establecido en la Resolución MME 91349 de 2014</v>
      </c>
      <c r="C30" s="571"/>
      <c r="D30" s="571"/>
      <c r="E30" s="571"/>
      <c r="F30" s="571"/>
      <c r="G30" s="571"/>
      <c r="H30" s="571"/>
      <c r="I30" s="571"/>
      <c r="J30" s="571"/>
      <c r="K30" s="233"/>
      <c r="L30" s="233"/>
      <c r="M30" s="233"/>
      <c r="N30" s="233"/>
      <c r="O30" s="233"/>
      <c r="P30" s="233"/>
    </row>
    <row r="31" spans="1:16" ht="27" customHeight="1" x14ac:dyDescent="0.25">
      <c r="A31" s="177" t="s">
        <v>240</v>
      </c>
      <c r="B31" s="568" t="s">
        <v>297</v>
      </c>
      <c r="C31" s="568"/>
      <c r="D31" s="568"/>
      <c r="E31" s="568"/>
      <c r="F31" s="568"/>
      <c r="G31" s="568"/>
      <c r="H31" s="568"/>
      <c r="I31" s="568"/>
      <c r="J31" s="568"/>
      <c r="K31" s="211"/>
      <c r="L31" s="211"/>
      <c r="M31" s="211"/>
      <c r="N31" s="211"/>
      <c r="O31" s="211"/>
      <c r="P31" s="211"/>
    </row>
    <row r="32" spans="1:16" ht="53.25" customHeight="1" x14ac:dyDescent="0.25">
      <c r="A32" s="177" t="s">
        <v>139</v>
      </c>
      <c r="B32" s="571" t="s">
        <v>365</v>
      </c>
      <c r="C32" s="571"/>
      <c r="D32" s="571"/>
      <c r="E32" s="571"/>
      <c r="F32" s="571"/>
      <c r="G32" s="571"/>
      <c r="H32" s="571"/>
      <c r="I32" s="571"/>
      <c r="J32" s="571"/>
      <c r="K32" s="211"/>
      <c r="L32" s="211"/>
      <c r="M32" s="211"/>
      <c r="N32" s="211"/>
      <c r="O32" s="211"/>
      <c r="P32" s="211"/>
    </row>
    <row r="33" spans="1:16" ht="53.25" customHeight="1" x14ac:dyDescent="0.25">
      <c r="A33" s="177" t="s">
        <v>241</v>
      </c>
      <c r="B33" s="570" t="s">
        <v>445</v>
      </c>
      <c r="C33" s="570"/>
      <c r="D33" s="570"/>
      <c r="E33" s="570"/>
      <c r="F33" s="570"/>
      <c r="G33" s="570"/>
      <c r="H33" s="570"/>
      <c r="I33" s="570"/>
      <c r="J33" s="570"/>
      <c r="K33" s="211"/>
      <c r="L33" s="211"/>
      <c r="M33" s="211"/>
      <c r="N33" s="211"/>
      <c r="O33" s="211"/>
      <c r="P33" s="211"/>
    </row>
    <row r="34" spans="1:16" x14ac:dyDescent="0.25">
      <c r="A34" s="177"/>
      <c r="B34" s="200"/>
      <c r="C34" s="232"/>
      <c r="D34" s="232"/>
      <c r="E34" s="232"/>
      <c r="F34" s="232"/>
      <c r="G34" s="211"/>
      <c r="H34" s="211"/>
      <c r="I34" s="211"/>
      <c r="J34" s="211"/>
      <c r="K34" s="211"/>
      <c r="L34" s="211"/>
      <c r="M34" s="211"/>
      <c r="N34" s="211"/>
      <c r="O34" s="211"/>
      <c r="P34" s="211"/>
    </row>
    <row r="35" spans="1:16" ht="15" customHeight="1" x14ac:dyDescent="0.25">
      <c r="A35" s="201" t="s">
        <v>104</v>
      </c>
      <c r="B35" s="569" t="s">
        <v>252</v>
      </c>
      <c r="C35" s="569"/>
      <c r="D35" s="569"/>
      <c r="E35" s="569"/>
      <c r="F35" s="569"/>
      <c r="G35" s="569"/>
      <c r="H35" s="569"/>
      <c r="I35" s="569"/>
      <c r="J35" s="569"/>
      <c r="K35" s="211"/>
      <c r="L35" s="211"/>
      <c r="M35" s="211"/>
      <c r="N35" s="211"/>
      <c r="O35" s="211"/>
      <c r="P35" s="211"/>
    </row>
    <row r="36" spans="1:16" ht="15" customHeight="1" x14ac:dyDescent="0.25">
      <c r="A36" s="201" t="s">
        <v>253</v>
      </c>
      <c r="B36" s="571" t="s">
        <v>351</v>
      </c>
      <c r="C36" s="571"/>
      <c r="D36" s="571"/>
      <c r="E36" s="571"/>
      <c r="F36" s="571"/>
      <c r="G36" s="571"/>
      <c r="H36" s="571"/>
      <c r="I36" s="571"/>
      <c r="J36" s="571"/>
      <c r="K36" s="211"/>
      <c r="L36" s="211"/>
      <c r="M36" s="211"/>
      <c r="N36" s="211"/>
      <c r="O36" s="211"/>
      <c r="P36" s="211"/>
    </row>
    <row r="37" spans="1:16" ht="15" customHeight="1" x14ac:dyDescent="0.25">
      <c r="A37" s="177" t="s">
        <v>255</v>
      </c>
      <c r="B37" s="571" t="s">
        <v>256</v>
      </c>
      <c r="C37" s="571"/>
      <c r="D37" s="571"/>
      <c r="E37" s="571"/>
      <c r="F37" s="571"/>
      <c r="G37" s="571"/>
      <c r="H37" s="571"/>
      <c r="I37" s="177"/>
      <c r="J37" s="569"/>
      <c r="K37" s="569"/>
      <c r="L37" s="569"/>
      <c r="M37" s="569"/>
      <c r="N37" s="569"/>
      <c r="O37" s="569"/>
      <c r="P37" s="569"/>
    </row>
    <row r="38" spans="1:16" ht="15" customHeight="1" x14ac:dyDescent="0.25">
      <c r="A38" s="177" t="s">
        <v>257</v>
      </c>
      <c r="B38" s="569" t="s">
        <v>260</v>
      </c>
      <c r="C38" s="569"/>
      <c r="D38" s="569"/>
      <c r="E38" s="569"/>
      <c r="F38" s="569"/>
      <c r="G38" s="569"/>
      <c r="H38" s="569"/>
      <c r="I38" s="177"/>
      <c r="J38" s="251"/>
      <c r="K38" s="251"/>
      <c r="L38" s="251"/>
      <c r="M38" s="251"/>
      <c r="N38" s="251"/>
      <c r="O38" s="251"/>
      <c r="P38" s="251"/>
    </row>
    <row r="39" spans="1:16" ht="24" customHeight="1" x14ac:dyDescent="0.25">
      <c r="A39" s="201" t="s">
        <v>259</v>
      </c>
      <c r="B39" s="571" t="s">
        <v>262</v>
      </c>
      <c r="C39" s="571"/>
      <c r="D39" s="571"/>
      <c r="E39" s="571"/>
      <c r="F39" s="571"/>
      <c r="G39" s="571"/>
      <c r="H39" s="571"/>
      <c r="I39" s="571"/>
      <c r="J39" s="571"/>
      <c r="K39" s="211"/>
      <c r="L39" s="211"/>
      <c r="M39" s="211"/>
      <c r="N39" s="211"/>
      <c r="O39" s="211"/>
      <c r="P39" s="211"/>
    </row>
    <row r="40" spans="1:16" x14ac:dyDescent="0.25">
      <c r="A40" s="201" t="s">
        <v>261</v>
      </c>
      <c r="B40" s="571" t="s">
        <v>305</v>
      </c>
      <c r="C40" s="571"/>
      <c r="D40" s="571"/>
      <c r="E40" s="571"/>
      <c r="F40" s="571"/>
      <c r="G40" s="571"/>
      <c r="H40" s="571"/>
      <c r="I40" s="571"/>
      <c r="J40" s="571"/>
      <c r="K40" s="211"/>
      <c r="L40" s="211"/>
      <c r="M40" s="211"/>
      <c r="N40" s="211"/>
      <c r="O40" s="211"/>
      <c r="P40" s="211"/>
    </row>
    <row r="42" spans="1:16" ht="87.75" customHeight="1" x14ac:dyDescent="0.25">
      <c r="A42" s="573" t="s">
        <v>163</v>
      </c>
      <c r="B42" s="573"/>
      <c r="C42" s="573"/>
      <c r="D42" s="573"/>
      <c r="E42" s="573"/>
      <c r="F42" s="573"/>
      <c r="G42" s="573"/>
      <c r="H42" s="573"/>
      <c r="I42" s="573"/>
      <c r="J42" s="573"/>
    </row>
  </sheetData>
  <sheetProtection password="C712" sheet="1" objects="1" scenarios="1"/>
  <mergeCells count="17">
    <mergeCell ref="B38:H38"/>
    <mergeCell ref="B39:J39"/>
    <mergeCell ref="B40:J40"/>
    <mergeCell ref="A42:J42"/>
    <mergeCell ref="B31:J31"/>
    <mergeCell ref="B32:J32"/>
    <mergeCell ref="B35:J35"/>
    <mergeCell ref="B36:J36"/>
    <mergeCell ref="B37:H37"/>
    <mergeCell ref="J37:P37"/>
    <mergeCell ref="B33:J33"/>
    <mergeCell ref="B30:J30"/>
    <mergeCell ref="C3:F4"/>
    <mergeCell ref="G3:H4"/>
    <mergeCell ref="A5:A7"/>
    <mergeCell ref="B5:B7"/>
    <mergeCell ref="C5:C6"/>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C33" sqref="C33"/>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68" t="s">
        <v>174</v>
      </c>
      <c r="B1" s="154" t="str">
        <f>+AMAZONAS!C1</f>
        <v>Vigencia: 16 de Diciembre de 2020; 00:00 horas</v>
      </c>
      <c r="C1" s="154"/>
      <c r="D1" s="269"/>
      <c r="E1" s="269"/>
      <c r="F1" s="269"/>
      <c r="G1" s="269"/>
      <c r="H1" s="269"/>
    </row>
    <row r="2" spans="1:8" ht="15.75" thickBot="1" x14ac:dyDescent="0.3">
      <c r="A2" s="180" t="s">
        <v>202</v>
      </c>
      <c r="B2" s="181"/>
      <c r="C2" s="181"/>
      <c r="D2" s="181"/>
      <c r="E2" s="181"/>
      <c r="F2" s="181"/>
      <c r="G2" s="270"/>
      <c r="H2" s="181"/>
    </row>
    <row r="3" spans="1:8" ht="15.75" thickTop="1" x14ac:dyDescent="0.25">
      <c r="A3" s="212"/>
      <c r="B3" s="183" t="s">
        <v>306</v>
      </c>
      <c r="C3" s="554" t="s">
        <v>203</v>
      </c>
      <c r="D3" s="555"/>
      <c r="E3" s="555"/>
      <c r="F3" s="555"/>
      <c r="G3" s="591" t="s">
        <v>275</v>
      </c>
      <c r="H3" s="593"/>
    </row>
    <row r="4" spans="1:8" ht="51" x14ac:dyDescent="0.25">
      <c r="A4" s="184"/>
      <c r="B4" s="298" t="s">
        <v>307</v>
      </c>
      <c r="C4" s="556"/>
      <c r="D4" s="557"/>
      <c r="E4" s="557"/>
      <c r="F4" s="557"/>
      <c r="G4" s="594"/>
      <c r="H4" s="596"/>
    </row>
    <row r="5" spans="1:8" ht="38.25" customHeight="1" x14ac:dyDescent="0.25">
      <c r="A5" s="562" t="s">
        <v>204</v>
      </c>
      <c r="B5" s="564" t="s">
        <v>205</v>
      </c>
      <c r="C5" s="566" t="s">
        <v>266</v>
      </c>
      <c r="D5" s="186" t="s">
        <v>97</v>
      </c>
      <c r="E5" s="186" t="s">
        <v>437</v>
      </c>
      <c r="F5" s="430" t="str">
        <f>+GUAINIA!F5</f>
        <v>Biodiesel B10</v>
      </c>
      <c r="G5" s="156" t="s">
        <v>97</v>
      </c>
      <c r="H5" s="252" t="str">
        <f>+F5</f>
        <v>Biodiesel B10</v>
      </c>
    </row>
    <row r="6" spans="1:8" ht="21.75" customHeight="1" x14ac:dyDescent="0.25">
      <c r="A6" s="562"/>
      <c r="B6" s="564"/>
      <c r="C6" s="567"/>
      <c r="D6" s="187">
        <v>0.08</v>
      </c>
      <c r="E6" s="188">
        <v>0.02</v>
      </c>
      <c r="F6" s="188">
        <f>+GUAINIA!F6</f>
        <v>0.1</v>
      </c>
      <c r="G6" s="299">
        <v>0.1</v>
      </c>
      <c r="H6" s="188">
        <f>+F6</f>
        <v>0.1</v>
      </c>
    </row>
    <row r="7" spans="1:8" x14ac:dyDescent="0.25">
      <c r="A7" s="563"/>
      <c r="B7" s="565"/>
      <c r="C7" s="156" t="s">
        <v>206</v>
      </c>
      <c r="D7" s="186" t="s">
        <v>206</v>
      </c>
      <c r="E7" s="186" t="s">
        <v>206</v>
      </c>
      <c r="F7" s="186" t="s">
        <v>206</v>
      </c>
      <c r="G7" s="156" t="s">
        <v>206</v>
      </c>
      <c r="H7" s="252" t="s">
        <v>206</v>
      </c>
    </row>
    <row r="8" spans="1:8" x14ac:dyDescent="0.25">
      <c r="A8" s="158" t="s">
        <v>207</v>
      </c>
      <c r="B8" s="164" t="s">
        <v>208</v>
      </c>
      <c r="C8" s="290">
        <f>+'Calculo IP ZDF'!B32</f>
        <v>3897.05681</v>
      </c>
      <c r="D8" s="290">
        <f>+'Calculo IP ZDF'!G32</f>
        <v>4332.3811290000003</v>
      </c>
      <c r="E8" s="276">
        <f>+'Calculo IP ZDF'!F32</f>
        <v>4329.6224590000002</v>
      </c>
      <c r="F8" s="195">
        <f>+'Calculo IP ZDF'!H32</f>
        <v>5133.8170950000003</v>
      </c>
      <c r="G8" s="273">
        <f>+'GAS CTE'!D9</f>
        <v>4474.72</v>
      </c>
      <c r="H8" s="240">
        <f>+BIODIESEL!G9</f>
        <v>5266.59</v>
      </c>
    </row>
    <row r="9" spans="1:8" x14ac:dyDescent="0.25">
      <c r="A9" s="158" t="s">
        <v>209</v>
      </c>
      <c r="B9" s="164" t="s">
        <v>210</v>
      </c>
      <c r="C9" s="216" t="s">
        <v>211</v>
      </c>
      <c r="D9" s="216" t="s">
        <v>211</v>
      </c>
      <c r="E9" s="216" t="s">
        <v>211</v>
      </c>
      <c r="F9" s="190" t="s">
        <v>211</v>
      </c>
      <c r="G9" s="275">
        <f>+'GAS CTE'!D10</f>
        <v>491.63400000000001</v>
      </c>
      <c r="H9" s="237">
        <f>+BIODIESEL!G10</f>
        <v>470.57</v>
      </c>
    </row>
    <row r="10" spans="1:8" x14ac:dyDescent="0.25">
      <c r="A10" s="158"/>
      <c r="B10" s="164" t="s">
        <v>138</v>
      </c>
      <c r="C10" s="216" t="s">
        <v>211</v>
      </c>
      <c r="D10" s="216" t="s">
        <v>211</v>
      </c>
      <c r="E10" s="216" t="s">
        <v>211</v>
      </c>
      <c r="F10" s="190" t="s">
        <v>211</v>
      </c>
      <c r="G10" s="275" t="str">
        <f>'[6]CORRIENTE OXIGENADA'!C12</f>
        <v>(3)</v>
      </c>
      <c r="H10" s="237" t="str">
        <f>'[6]CORRIENTE OXIGENADA'!C12</f>
        <v>(3)</v>
      </c>
    </row>
    <row r="11" spans="1:8" x14ac:dyDescent="0.25">
      <c r="A11" s="158"/>
      <c r="B11" s="164" t="s">
        <v>140</v>
      </c>
      <c r="C11" s="276">
        <f>+'GAS CTE'!C12</f>
        <v>155</v>
      </c>
      <c r="D11" s="276">
        <f>+'GAS CTE'!D12</f>
        <v>139.5</v>
      </c>
      <c r="E11" s="276">
        <f>+BIODIESEL!E12</f>
        <v>170.52</v>
      </c>
      <c r="F11" s="195">
        <f>+BIODIESEL!G12</f>
        <v>156.6</v>
      </c>
      <c r="G11" s="275">
        <f t="shared" ref="G11:G16" si="0">+C11</f>
        <v>155</v>
      </c>
      <c r="H11" s="237">
        <f>+BIODIESEL!G12</f>
        <v>156.6</v>
      </c>
    </row>
    <row r="12" spans="1:8" x14ac:dyDescent="0.25">
      <c r="A12" s="158" t="s">
        <v>212</v>
      </c>
      <c r="B12" s="164" t="s">
        <v>296</v>
      </c>
      <c r="C12" s="293" t="s">
        <v>240</v>
      </c>
      <c r="D12" s="216" t="str">
        <f>+C12</f>
        <v>(2)</v>
      </c>
      <c r="E12" s="216" t="str">
        <f>+C12</f>
        <v>(2)</v>
      </c>
      <c r="F12" s="189" t="str">
        <f>+C12</f>
        <v>(2)</v>
      </c>
      <c r="G12" s="275" t="str">
        <f t="shared" si="0"/>
        <v>(2)</v>
      </c>
      <c r="H12" s="237" t="str">
        <f>+D12</f>
        <v>(2)</v>
      </c>
    </row>
    <row r="13" spans="1:8" x14ac:dyDescent="0.25">
      <c r="A13" s="158" t="s">
        <v>216</v>
      </c>
      <c r="B13" s="164" t="s">
        <v>217</v>
      </c>
      <c r="C13" s="293">
        <f>+RUBROS!W53</f>
        <v>77.186244117822795</v>
      </c>
      <c r="D13" s="216">
        <f>+C13</f>
        <v>77.186244117822795</v>
      </c>
      <c r="E13" s="216">
        <f>+C13</f>
        <v>77.186244117822795</v>
      </c>
      <c r="F13" s="189">
        <f>+C13</f>
        <v>77.186244117822795</v>
      </c>
      <c r="G13" s="275">
        <f t="shared" si="0"/>
        <v>77.186244117822795</v>
      </c>
      <c r="H13" s="237">
        <f>+C13</f>
        <v>77.186244117822795</v>
      </c>
    </row>
    <row r="14" spans="1:8" x14ac:dyDescent="0.25">
      <c r="A14" s="158" t="s">
        <v>214</v>
      </c>
      <c r="B14" s="164" t="s">
        <v>215</v>
      </c>
      <c r="C14" s="276">
        <f>+RUBROS!W17</f>
        <v>21.906900579364827</v>
      </c>
      <c r="D14" s="189">
        <f>+C14</f>
        <v>21.906900579364827</v>
      </c>
      <c r="E14" s="189">
        <f>+C14</f>
        <v>21.906900579364827</v>
      </c>
      <c r="F14" s="189">
        <f>+C14</f>
        <v>21.906900579364827</v>
      </c>
      <c r="G14" s="273">
        <f t="shared" si="0"/>
        <v>21.906900579364827</v>
      </c>
      <c r="H14" s="161">
        <f>+C14</f>
        <v>21.906900579364827</v>
      </c>
    </row>
    <row r="15" spans="1:8" x14ac:dyDescent="0.25">
      <c r="A15" s="158" t="s">
        <v>218</v>
      </c>
      <c r="B15" s="164" t="s">
        <v>219</v>
      </c>
      <c r="C15" s="276">
        <f>+RUBROS!AL42</f>
        <v>12.561430159485083</v>
      </c>
      <c r="D15" s="189">
        <f>+C15</f>
        <v>12.561430159485083</v>
      </c>
      <c r="E15" s="189">
        <f>+C15</f>
        <v>12.561430159485083</v>
      </c>
      <c r="F15" s="189">
        <f>+C15</f>
        <v>12.561430159485083</v>
      </c>
      <c r="G15" s="273">
        <f t="shared" si="0"/>
        <v>12.561430159485083</v>
      </c>
      <c r="H15" s="161">
        <f>+G15</f>
        <v>12.561430159485083</v>
      </c>
    </row>
    <row r="16" spans="1:8" x14ac:dyDescent="0.25">
      <c r="A16" s="158"/>
      <c r="B16" s="164" t="s">
        <v>220</v>
      </c>
      <c r="C16" s="276">
        <f>+'GAS CTE'!C16</f>
        <v>71.510000000000005</v>
      </c>
      <c r="D16" s="189">
        <f>+C16</f>
        <v>71.510000000000005</v>
      </c>
      <c r="E16" s="189">
        <f>+C16</f>
        <v>71.510000000000005</v>
      </c>
      <c r="F16" s="189">
        <f>+C16</f>
        <v>71.510000000000005</v>
      </c>
      <c r="G16" s="273">
        <f t="shared" si="0"/>
        <v>71.510000000000005</v>
      </c>
      <c r="H16" s="161">
        <f>+C16</f>
        <v>71.510000000000005</v>
      </c>
    </row>
    <row r="17" spans="1:8" x14ac:dyDescent="0.25">
      <c r="A17" s="165" t="s">
        <v>221</v>
      </c>
      <c r="B17" s="196" t="s">
        <v>222</v>
      </c>
      <c r="C17" s="277">
        <f t="shared" ref="C17:G17" si="1">SUM(C8:C16)</f>
        <v>4235.2213848566726</v>
      </c>
      <c r="D17" s="277">
        <f t="shared" si="1"/>
        <v>4655.0457038566728</v>
      </c>
      <c r="E17" s="277">
        <f t="shared" si="1"/>
        <v>4683.3070338566731</v>
      </c>
      <c r="F17" s="277">
        <f t="shared" si="1"/>
        <v>5473.5816698566732</v>
      </c>
      <c r="G17" s="279">
        <f t="shared" si="1"/>
        <v>5304.5185748566728</v>
      </c>
      <c r="H17" s="280">
        <f>SUM(H8:H16)</f>
        <v>6076.9245748566727</v>
      </c>
    </row>
    <row r="18" spans="1:8" x14ac:dyDescent="0.25">
      <c r="A18" s="158" t="s">
        <v>223</v>
      </c>
      <c r="B18" s="164" t="s">
        <v>290</v>
      </c>
      <c r="C18" s="293" t="s">
        <v>255</v>
      </c>
      <c r="D18" s="189" t="str">
        <f>+C18</f>
        <v>***</v>
      </c>
      <c r="E18" s="189" t="str">
        <f>+D18</f>
        <v>***</v>
      </c>
      <c r="F18" s="189" t="str">
        <f>+E18</f>
        <v>***</v>
      </c>
      <c r="G18" s="273" t="str">
        <f>+F18</f>
        <v>***</v>
      </c>
      <c r="H18" s="161" t="str">
        <f>+C18</f>
        <v>***</v>
      </c>
    </row>
    <row r="19" spans="1:8" x14ac:dyDescent="0.25">
      <c r="A19" s="158" t="s">
        <v>225</v>
      </c>
      <c r="B19" s="164" t="s">
        <v>226</v>
      </c>
      <c r="C19" s="293" t="s">
        <v>253</v>
      </c>
      <c r="D19" s="189" t="str">
        <f>+C19</f>
        <v>**</v>
      </c>
      <c r="E19" s="189" t="str">
        <f>+C19</f>
        <v>**</v>
      </c>
      <c r="F19" s="189" t="str">
        <f>+C19</f>
        <v>**</v>
      </c>
      <c r="G19" s="273" t="str">
        <f>+C19</f>
        <v>**</v>
      </c>
      <c r="H19" s="161" t="str">
        <f>+C19</f>
        <v>**</v>
      </c>
    </row>
    <row r="20" spans="1:8" x14ac:dyDescent="0.25">
      <c r="A20" s="158" t="s">
        <v>227</v>
      </c>
      <c r="B20" s="235" t="s">
        <v>145</v>
      </c>
      <c r="C20" s="315" t="s">
        <v>257</v>
      </c>
      <c r="D20" s="189" t="str">
        <f>+C20</f>
        <v>****</v>
      </c>
      <c r="E20" s="195" t="str">
        <f>+C20</f>
        <v>****</v>
      </c>
      <c r="F20" s="195" t="str">
        <f>+C20</f>
        <v>****</v>
      </c>
      <c r="G20" s="296" t="str">
        <f>C20</f>
        <v>****</v>
      </c>
      <c r="H20" s="161" t="str">
        <f>+C20</f>
        <v>****</v>
      </c>
    </row>
    <row r="21" spans="1:8" x14ac:dyDescent="0.25">
      <c r="A21" s="165" t="s">
        <v>229</v>
      </c>
      <c r="B21" s="196" t="s">
        <v>230</v>
      </c>
      <c r="C21" s="282">
        <f t="shared" ref="C21:H21" si="2">+C17</f>
        <v>4235.2213848566726</v>
      </c>
      <c r="D21" s="197">
        <f t="shared" si="2"/>
        <v>4655.0457038566728</v>
      </c>
      <c r="E21" s="197">
        <f t="shared" si="2"/>
        <v>4683.3070338566731</v>
      </c>
      <c r="F21" s="197">
        <f t="shared" si="2"/>
        <v>5473.5816698566732</v>
      </c>
      <c r="G21" s="279">
        <f t="shared" si="2"/>
        <v>5304.5185748566728</v>
      </c>
      <c r="H21" s="167">
        <f t="shared" si="2"/>
        <v>6076.9245748566727</v>
      </c>
    </row>
    <row r="22" spans="1:8" x14ac:dyDescent="0.25">
      <c r="A22" s="158" t="s">
        <v>231</v>
      </c>
      <c r="B22" s="164" t="s">
        <v>176</v>
      </c>
      <c r="C22" s="276" t="str">
        <f>+C18</f>
        <v>***</v>
      </c>
      <c r="D22" s="276" t="str">
        <f t="shared" ref="D22:F22" si="3">+D18</f>
        <v>***</v>
      </c>
      <c r="E22" s="276" t="str">
        <f t="shared" si="3"/>
        <v>***</v>
      </c>
      <c r="F22" s="276" t="str">
        <f t="shared" si="3"/>
        <v>***</v>
      </c>
      <c r="G22" s="273" t="str">
        <f>+G18</f>
        <v>***</v>
      </c>
      <c r="H22" s="161" t="str">
        <f>+H18</f>
        <v>***</v>
      </c>
    </row>
    <row r="23" spans="1:8" x14ac:dyDescent="0.25">
      <c r="A23" s="158" t="s">
        <v>232</v>
      </c>
      <c r="B23" s="159" t="s">
        <v>233</v>
      </c>
      <c r="C23" s="283" t="s">
        <v>259</v>
      </c>
      <c r="D23" s="189" t="str">
        <f>+C23</f>
        <v>*****</v>
      </c>
      <c r="E23" s="189" t="s">
        <v>234</v>
      </c>
      <c r="F23" s="189" t="s">
        <v>234</v>
      </c>
      <c r="G23" s="273" t="str">
        <f>+D23</f>
        <v>*****</v>
      </c>
      <c r="H23" s="161" t="s">
        <v>279</v>
      </c>
    </row>
    <row r="24" spans="1:8" ht="24.75" customHeight="1" x14ac:dyDescent="0.25">
      <c r="A24" s="158" t="s">
        <v>235</v>
      </c>
      <c r="B24" s="159" t="s">
        <v>236</v>
      </c>
      <c r="C24" s="283" t="s">
        <v>261</v>
      </c>
      <c r="D24" s="189" t="str">
        <f>+C24</f>
        <v>******</v>
      </c>
      <c r="E24" s="189" t="str">
        <f>+C24</f>
        <v>******</v>
      </c>
      <c r="F24" s="189" t="str">
        <f>+C24</f>
        <v>******</v>
      </c>
      <c r="G24" s="273" t="str">
        <f>+C24</f>
        <v>******</v>
      </c>
      <c r="H24" s="161" t="str">
        <f>+C24</f>
        <v>******</v>
      </c>
    </row>
    <row r="25" spans="1:8" ht="15.75" thickBot="1" x14ac:dyDescent="0.3">
      <c r="A25" s="169" t="s">
        <v>237</v>
      </c>
      <c r="B25" s="170" t="s">
        <v>238</v>
      </c>
      <c r="C25" s="284"/>
      <c r="D25" s="199"/>
      <c r="E25" s="199"/>
      <c r="F25" s="199"/>
      <c r="G25" s="285"/>
      <c r="H25" s="172"/>
    </row>
    <row r="26" spans="1:8" ht="15.75" thickTop="1" x14ac:dyDescent="0.25">
      <c r="A26" s="174"/>
      <c r="B26" s="175"/>
      <c r="C26" s="175"/>
      <c r="D26" s="176"/>
      <c r="E26" s="176"/>
      <c r="F26" s="176"/>
      <c r="G26" s="176"/>
      <c r="H26" s="176"/>
    </row>
    <row r="27" spans="1:8" ht="15.75" thickBot="1" x14ac:dyDescent="0.3">
      <c r="A27" s="174"/>
      <c r="B27" s="175"/>
      <c r="C27" s="175"/>
      <c r="D27" s="176"/>
      <c r="E27" s="176"/>
      <c r="F27" s="176"/>
      <c r="G27" s="176"/>
      <c r="H27" s="176"/>
    </row>
    <row r="28" spans="1:8" ht="26.25" thickTop="1" x14ac:dyDescent="0.25">
      <c r="A28" s="212"/>
      <c r="B28" s="183" t="s">
        <v>309</v>
      </c>
      <c r="C28" s="554" t="s">
        <v>203</v>
      </c>
      <c r="D28" s="555"/>
      <c r="E28" s="555"/>
      <c r="F28" s="555"/>
      <c r="G28" s="591" t="s">
        <v>275</v>
      </c>
      <c r="H28" s="592"/>
    </row>
    <row r="29" spans="1:8" ht="46.5" customHeight="1" x14ac:dyDescent="0.25">
      <c r="A29" s="184"/>
      <c r="B29" s="298" t="s">
        <v>308</v>
      </c>
      <c r="C29" s="556"/>
      <c r="D29" s="557"/>
      <c r="E29" s="557"/>
      <c r="F29" s="557"/>
      <c r="G29" s="594"/>
      <c r="H29" s="595"/>
    </row>
    <row r="30" spans="1:8" ht="38.25" customHeight="1" x14ac:dyDescent="0.25">
      <c r="A30" s="562" t="s">
        <v>204</v>
      </c>
      <c r="B30" s="564" t="s">
        <v>205</v>
      </c>
      <c r="C30" s="566" t="s">
        <v>266</v>
      </c>
      <c r="D30" s="186" t="s">
        <v>97</v>
      </c>
      <c r="E30" s="186" t="str">
        <f>+E5</f>
        <v>Biodiesel B2</v>
      </c>
      <c r="F30" s="588" t="str">
        <f>+F5</f>
        <v>Biodiesel B10</v>
      </c>
      <c r="G30" s="156" t="s">
        <v>97</v>
      </c>
      <c r="H30" s="252" t="str">
        <f>+F30</f>
        <v>Biodiesel B10</v>
      </c>
    </row>
    <row r="31" spans="1:8" x14ac:dyDescent="0.25">
      <c r="A31" s="562"/>
      <c r="B31" s="564"/>
      <c r="C31" s="567"/>
      <c r="D31" s="187">
        <v>0.08</v>
      </c>
      <c r="E31" s="188">
        <f>+E6</f>
        <v>0.02</v>
      </c>
      <c r="F31" s="589"/>
      <c r="G31" s="299">
        <v>0.1</v>
      </c>
      <c r="H31" s="188">
        <f>+H6</f>
        <v>0.1</v>
      </c>
    </row>
    <row r="32" spans="1:8" x14ac:dyDescent="0.25">
      <c r="A32" s="563"/>
      <c r="B32" s="565"/>
      <c r="C32" s="156" t="s">
        <v>206</v>
      </c>
      <c r="D32" s="186" t="s">
        <v>206</v>
      </c>
      <c r="E32" s="186" t="s">
        <v>206</v>
      </c>
      <c r="F32" s="433">
        <f>+F6</f>
        <v>0.1</v>
      </c>
      <c r="G32" s="156" t="s">
        <v>206</v>
      </c>
      <c r="H32" s="252" t="s">
        <v>206</v>
      </c>
    </row>
    <row r="33" spans="1:8" x14ac:dyDescent="0.25">
      <c r="A33" s="158" t="s">
        <v>207</v>
      </c>
      <c r="B33" s="164" t="s">
        <v>208</v>
      </c>
      <c r="C33" s="290">
        <f>+'GAS CTE'!C6</f>
        <v>4055.21</v>
      </c>
      <c r="D33" s="290">
        <f>+'GAS CTE'!D9</f>
        <v>4474.72</v>
      </c>
      <c r="E33" s="291">
        <f>+BIODIESEL!E9</f>
        <v>4474.2</v>
      </c>
      <c r="F33" s="195">
        <f>+BIODIESEL!G9</f>
        <v>5266.59</v>
      </c>
      <c r="G33" s="273">
        <f>+D33</f>
        <v>4474.72</v>
      </c>
      <c r="H33" s="240">
        <f>+H8</f>
        <v>5266.59</v>
      </c>
    </row>
    <row r="34" spans="1:8" x14ac:dyDescent="0.25">
      <c r="A34" s="158" t="s">
        <v>209</v>
      </c>
      <c r="B34" s="164" t="s">
        <v>210</v>
      </c>
      <c r="C34" s="216" t="s">
        <v>211</v>
      </c>
      <c r="D34" s="216" t="s">
        <v>211</v>
      </c>
      <c r="E34" s="216" t="s">
        <v>211</v>
      </c>
      <c r="F34" s="190" t="s">
        <v>211</v>
      </c>
      <c r="G34" s="275">
        <f>+'GAS CTE'!D10</f>
        <v>491.63400000000001</v>
      </c>
      <c r="H34" s="237">
        <f>+H9</f>
        <v>470.57</v>
      </c>
    </row>
    <row r="35" spans="1:8" x14ac:dyDescent="0.25">
      <c r="A35" s="158"/>
      <c r="B35" s="164" t="s">
        <v>138</v>
      </c>
      <c r="C35" s="216" t="s">
        <v>211</v>
      </c>
      <c r="D35" s="216" t="s">
        <v>211</v>
      </c>
      <c r="E35" s="216" t="s">
        <v>211</v>
      </c>
      <c r="F35" s="190" t="s">
        <v>211</v>
      </c>
      <c r="G35" s="275" t="str">
        <f>+G10</f>
        <v>(3)</v>
      </c>
      <c r="H35" s="237" t="str">
        <f>+G35</f>
        <v>(3)</v>
      </c>
    </row>
    <row r="36" spans="1:8" x14ac:dyDescent="0.25">
      <c r="A36" s="158"/>
      <c r="B36" s="164" t="s">
        <v>140</v>
      </c>
      <c r="C36" s="276">
        <f>'GAS CTE'!C12</f>
        <v>155</v>
      </c>
      <c r="D36" s="276">
        <f>+'GAS CTE'!D12</f>
        <v>139.5</v>
      </c>
      <c r="E36" s="276">
        <f>+BIODIESEL!E12</f>
        <v>170.52</v>
      </c>
      <c r="F36" s="195">
        <f>+BIODIESEL!G12</f>
        <v>156.6</v>
      </c>
      <c r="G36" s="275">
        <f>+D36</f>
        <v>139.5</v>
      </c>
      <c r="H36" s="237">
        <f>+H11</f>
        <v>156.6</v>
      </c>
    </row>
    <row r="37" spans="1:8" x14ac:dyDescent="0.25">
      <c r="A37" s="158" t="s">
        <v>212</v>
      </c>
      <c r="B37" s="164" t="s">
        <v>296</v>
      </c>
      <c r="C37" s="216" t="str">
        <f>+C12</f>
        <v>(2)</v>
      </c>
      <c r="D37" s="216" t="str">
        <f>+C37</f>
        <v>(2)</v>
      </c>
      <c r="E37" s="216" t="str">
        <f>+C37</f>
        <v>(2)</v>
      </c>
      <c r="F37" s="189" t="str">
        <f>+C37</f>
        <v>(2)</v>
      </c>
      <c r="G37" s="275" t="str">
        <f>+C37</f>
        <v>(2)</v>
      </c>
      <c r="H37" s="237" t="str">
        <f>+D37</f>
        <v>(2)</v>
      </c>
    </row>
    <row r="38" spans="1:8" x14ac:dyDescent="0.25">
      <c r="A38" s="158" t="s">
        <v>216</v>
      </c>
      <c r="B38" s="164" t="s">
        <v>217</v>
      </c>
      <c r="C38" s="216">
        <f>+C13</f>
        <v>77.186244117822795</v>
      </c>
      <c r="D38" s="216">
        <f>+C38</f>
        <v>77.186244117822795</v>
      </c>
      <c r="E38" s="216">
        <f>+C38</f>
        <v>77.186244117822795</v>
      </c>
      <c r="F38" s="189">
        <f>+C38</f>
        <v>77.186244117822795</v>
      </c>
      <c r="G38" s="275">
        <f>+C38</f>
        <v>77.186244117822795</v>
      </c>
      <c r="H38" s="237">
        <f>+G38</f>
        <v>77.186244117822795</v>
      </c>
    </row>
    <row r="39" spans="1:8" x14ac:dyDescent="0.25">
      <c r="A39" s="158" t="s">
        <v>214</v>
      </c>
      <c r="B39" s="164" t="s">
        <v>215</v>
      </c>
      <c r="C39" s="276">
        <f>C14</f>
        <v>21.906900579364827</v>
      </c>
      <c r="D39" s="189">
        <f>+C39</f>
        <v>21.906900579364827</v>
      </c>
      <c r="E39" s="189">
        <f>+C39</f>
        <v>21.906900579364827</v>
      </c>
      <c r="F39" s="189">
        <f>+C39</f>
        <v>21.906900579364827</v>
      </c>
      <c r="G39" s="273">
        <f>+C39</f>
        <v>21.906900579364827</v>
      </c>
      <c r="H39" s="161">
        <f>+C39</f>
        <v>21.906900579364827</v>
      </c>
    </row>
    <row r="40" spans="1:8" x14ac:dyDescent="0.25">
      <c r="A40" s="158" t="s">
        <v>218</v>
      </c>
      <c r="B40" s="164" t="s">
        <v>219</v>
      </c>
      <c r="C40" s="276">
        <f>+C15</f>
        <v>12.561430159485083</v>
      </c>
      <c r="D40" s="189">
        <f>+C40</f>
        <v>12.561430159485083</v>
      </c>
      <c r="E40" s="189">
        <f>+C40</f>
        <v>12.561430159485083</v>
      </c>
      <c r="F40" s="189">
        <f>+C40</f>
        <v>12.561430159485083</v>
      </c>
      <c r="G40" s="273">
        <f>+C40</f>
        <v>12.561430159485083</v>
      </c>
      <c r="H40" s="161">
        <f>+G40</f>
        <v>12.561430159485083</v>
      </c>
    </row>
    <row r="41" spans="1:8" x14ac:dyDescent="0.25">
      <c r="A41" s="158"/>
      <c r="B41" s="164" t="s">
        <v>220</v>
      </c>
      <c r="C41" s="276">
        <f>+'GAS CTE'!C16</f>
        <v>71.510000000000005</v>
      </c>
      <c r="D41" s="189">
        <f>+C41</f>
        <v>71.510000000000005</v>
      </c>
      <c r="E41" s="189">
        <f>+C41</f>
        <v>71.510000000000005</v>
      </c>
      <c r="F41" s="189">
        <f>+C41</f>
        <v>71.510000000000005</v>
      </c>
      <c r="G41" s="273">
        <f>+C41</f>
        <v>71.510000000000005</v>
      </c>
      <c r="H41" s="161">
        <f>+C41</f>
        <v>71.510000000000005</v>
      </c>
    </row>
    <row r="42" spans="1:8" x14ac:dyDescent="0.25">
      <c r="A42" s="165" t="s">
        <v>221</v>
      </c>
      <c r="B42" s="196" t="s">
        <v>222</v>
      </c>
      <c r="C42" s="277">
        <f t="shared" ref="C42:H42" si="4">SUM(C33:C41)</f>
        <v>4393.3745748566726</v>
      </c>
      <c r="D42" s="277">
        <f t="shared" si="4"/>
        <v>4797.3845748566728</v>
      </c>
      <c r="E42" s="277">
        <f t="shared" si="4"/>
        <v>4827.8845748566728</v>
      </c>
      <c r="F42" s="277">
        <f t="shared" si="4"/>
        <v>5606.354574856673</v>
      </c>
      <c r="G42" s="279">
        <f t="shared" si="4"/>
        <v>5289.0185748566728</v>
      </c>
      <c r="H42" s="280">
        <f t="shared" si="4"/>
        <v>6076.9245748566727</v>
      </c>
    </row>
    <row r="43" spans="1:8" x14ac:dyDescent="0.25">
      <c r="A43" s="158" t="s">
        <v>223</v>
      </c>
      <c r="B43" s="164" t="s">
        <v>290</v>
      </c>
      <c r="C43" s="293" t="s">
        <v>255</v>
      </c>
      <c r="D43" s="189" t="str">
        <f>+C43</f>
        <v>***</v>
      </c>
      <c r="E43" s="189" t="str">
        <f>+D43</f>
        <v>***</v>
      </c>
      <c r="F43" s="189" t="str">
        <f>+E43</f>
        <v>***</v>
      </c>
      <c r="G43" s="273" t="str">
        <f>+E43</f>
        <v>***</v>
      </c>
      <c r="H43" s="161" t="str">
        <f>+G43</f>
        <v>***</v>
      </c>
    </row>
    <row r="44" spans="1:8" x14ac:dyDescent="0.25">
      <c r="A44" s="158" t="s">
        <v>225</v>
      </c>
      <c r="B44" s="164" t="s">
        <v>226</v>
      </c>
      <c r="C44" s="293" t="s">
        <v>253</v>
      </c>
      <c r="D44" s="189" t="str">
        <f>+C44</f>
        <v>**</v>
      </c>
      <c r="E44" s="189" t="str">
        <f>+C44</f>
        <v>**</v>
      </c>
      <c r="F44" s="189" t="str">
        <f>+C44</f>
        <v>**</v>
      </c>
      <c r="G44" s="273" t="str">
        <f>+C44</f>
        <v>**</v>
      </c>
      <c r="H44" s="161" t="str">
        <f>+G44</f>
        <v>**</v>
      </c>
    </row>
    <row r="45" spans="1:8" x14ac:dyDescent="0.25">
      <c r="A45" s="158" t="s">
        <v>227</v>
      </c>
      <c r="B45" s="235" t="s">
        <v>145</v>
      </c>
      <c r="C45" s="297" t="str">
        <f>+C20</f>
        <v>****</v>
      </c>
      <c r="D45" s="189" t="str">
        <f>+C45</f>
        <v>****</v>
      </c>
      <c r="E45" s="195" t="str">
        <f>+C45</f>
        <v>****</v>
      </c>
      <c r="F45" s="195" t="str">
        <f>+C45</f>
        <v>****</v>
      </c>
      <c r="G45" s="296" t="str">
        <f>C45</f>
        <v>****</v>
      </c>
      <c r="H45" s="161" t="str">
        <f>+C45</f>
        <v>****</v>
      </c>
    </row>
    <row r="46" spans="1:8" x14ac:dyDescent="0.25">
      <c r="A46" s="165" t="s">
        <v>229</v>
      </c>
      <c r="B46" s="196" t="s">
        <v>230</v>
      </c>
      <c r="C46" s="282">
        <f>SUM(C42:C45)</f>
        <v>4393.3745748566726</v>
      </c>
      <c r="D46" s="197">
        <f t="shared" ref="D46:H46" si="5">SUM(D42:D45)</f>
        <v>4797.3845748566728</v>
      </c>
      <c r="E46" s="197">
        <f t="shared" si="5"/>
        <v>4827.8845748566728</v>
      </c>
      <c r="F46" s="197">
        <f t="shared" si="5"/>
        <v>5606.354574856673</v>
      </c>
      <c r="G46" s="279">
        <f t="shared" si="5"/>
        <v>5289.0185748566728</v>
      </c>
      <c r="H46" s="167">
        <f t="shared" si="5"/>
        <v>6076.9245748566727</v>
      </c>
    </row>
    <row r="47" spans="1:8" x14ac:dyDescent="0.25">
      <c r="A47" s="158" t="s">
        <v>231</v>
      </c>
      <c r="B47" s="164" t="s">
        <v>176</v>
      </c>
      <c r="C47" s="295" t="str">
        <f>+C43</f>
        <v>***</v>
      </c>
      <c r="D47" s="189" t="str">
        <f>+C47</f>
        <v>***</v>
      </c>
      <c r="E47" s="189" t="str">
        <f>+C47</f>
        <v>***</v>
      </c>
      <c r="F47" s="189" t="str">
        <f>+F43</f>
        <v>***</v>
      </c>
      <c r="G47" s="273" t="str">
        <f>+C47</f>
        <v>***</v>
      </c>
      <c r="H47" s="161" t="str">
        <f>+C47</f>
        <v>***</v>
      </c>
    </row>
    <row r="48" spans="1:8" x14ac:dyDescent="0.25">
      <c r="A48" s="158" t="s">
        <v>232</v>
      </c>
      <c r="B48" s="159" t="s">
        <v>233</v>
      </c>
      <c r="C48" s="218" t="str">
        <f>+C23</f>
        <v>*****</v>
      </c>
      <c r="D48" s="218" t="str">
        <f t="shared" ref="D48:H49" si="6">+D23</f>
        <v>*****</v>
      </c>
      <c r="E48" s="218" t="str">
        <f t="shared" si="6"/>
        <v>N.A</v>
      </c>
      <c r="F48" s="218" t="str">
        <f t="shared" si="6"/>
        <v>N.A</v>
      </c>
      <c r="G48" s="273" t="str">
        <f t="shared" si="6"/>
        <v>*****</v>
      </c>
      <c r="H48" s="240" t="str">
        <f t="shared" si="6"/>
        <v>N.A.</v>
      </c>
    </row>
    <row r="49" spans="1:8" x14ac:dyDescent="0.25">
      <c r="A49" s="158" t="s">
        <v>235</v>
      </c>
      <c r="B49" s="159" t="s">
        <v>236</v>
      </c>
      <c r="C49" s="218" t="str">
        <f>+C24</f>
        <v>******</v>
      </c>
      <c r="D49" s="218" t="str">
        <f t="shared" si="6"/>
        <v>******</v>
      </c>
      <c r="E49" s="218" t="str">
        <f t="shared" si="6"/>
        <v>******</v>
      </c>
      <c r="F49" s="218" t="str">
        <f t="shared" si="6"/>
        <v>******</v>
      </c>
      <c r="G49" s="273" t="str">
        <f t="shared" si="6"/>
        <v>******</v>
      </c>
      <c r="H49" s="240" t="str">
        <f t="shared" si="6"/>
        <v>******</v>
      </c>
    </row>
    <row r="50" spans="1:8" ht="15.75" thickBot="1" x14ac:dyDescent="0.3">
      <c r="A50" s="169" t="s">
        <v>237</v>
      </c>
      <c r="B50" s="170" t="s">
        <v>238</v>
      </c>
      <c r="C50" s="284"/>
      <c r="D50" s="199"/>
      <c r="E50" s="199"/>
      <c r="F50" s="199"/>
      <c r="G50" s="285"/>
      <c r="H50" s="172"/>
    </row>
    <row r="51" spans="1:8" ht="15.75" thickTop="1" x14ac:dyDescent="0.25">
      <c r="A51" s="174"/>
      <c r="B51" s="175"/>
      <c r="C51" s="175"/>
      <c r="D51" s="176"/>
      <c r="E51" s="176"/>
      <c r="F51" s="176"/>
      <c r="G51" s="176"/>
      <c r="H51" s="176"/>
    </row>
    <row r="52" spans="1:8" ht="15" customHeight="1" x14ac:dyDescent="0.25">
      <c r="A52" s="174"/>
      <c r="B52" s="292" t="s">
        <v>251</v>
      </c>
      <c r="C52" s="175"/>
      <c r="D52" s="176"/>
      <c r="E52" s="176"/>
      <c r="F52" s="176"/>
      <c r="G52" s="176"/>
      <c r="H52" s="176"/>
    </row>
    <row r="53" spans="1:8" x14ac:dyDescent="0.25">
      <c r="A53" s="174"/>
      <c r="B53" s="175"/>
      <c r="C53" s="175"/>
      <c r="D53" s="176"/>
      <c r="E53" s="176"/>
      <c r="F53" s="176"/>
      <c r="G53" s="176"/>
      <c r="H53" s="176"/>
    </row>
    <row r="54" spans="1:8" ht="19.5" customHeight="1" x14ac:dyDescent="0.25">
      <c r="A54" s="177" t="s">
        <v>213</v>
      </c>
      <c r="B54" s="571" t="str">
        <f>+GUAINIA!B30</f>
        <v>De acuerdo con lo establecido en la Resolución MME 91349 de 2014</v>
      </c>
      <c r="C54" s="571"/>
      <c r="D54" s="571"/>
      <c r="E54" s="571"/>
      <c r="F54" s="571"/>
      <c r="G54" s="571"/>
      <c r="H54" s="571"/>
    </row>
    <row r="55" spans="1:8" ht="27.75" customHeight="1" x14ac:dyDescent="0.25">
      <c r="A55" s="177" t="s">
        <v>240</v>
      </c>
      <c r="B55" s="568" t="s">
        <v>297</v>
      </c>
      <c r="C55" s="568"/>
      <c r="D55" s="568"/>
      <c r="E55" s="568"/>
      <c r="F55" s="568"/>
      <c r="G55" s="568"/>
      <c r="H55" s="568"/>
    </row>
    <row r="56" spans="1:8" ht="39" customHeight="1" x14ac:dyDescent="0.25">
      <c r="A56" s="177" t="s">
        <v>139</v>
      </c>
      <c r="B56" s="568" t="s">
        <v>267</v>
      </c>
      <c r="C56" s="568"/>
      <c r="D56" s="568"/>
      <c r="E56" s="568"/>
      <c r="F56" s="568"/>
      <c r="G56" s="568"/>
      <c r="H56" s="568"/>
    </row>
    <row r="57" spans="1:8" ht="7.5" customHeight="1" x14ac:dyDescent="0.25">
      <c r="A57" s="177"/>
      <c r="B57" s="253"/>
      <c r="C57" s="253"/>
      <c r="D57" s="253"/>
      <c r="E57" s="253"/>
      <c r="F57" s="253"/>
      <c r="G57" s="253"/>
      <c r="H57" s="176"/>
    </row>
    <row r="58" spans="1:8" x14ac:dyDescent="0.25">
      <c r="A58" s="177"/>
      <c r="B58" s="200" t="s">
        <v>174</v>
      </c>
      <c r="C58" s="200"/>
      <c r="D58" s="232"/>
      <c r="E58" s="232"/>
      <c r="F58" s="232"/>
      <c r="G58" s="232"/>
      <c r="H58" s="232"/>
    </row>
    <row r="59" spans="1:8" ht="15" customHeight="1" x14ac:dyDescent="0.25">
      <c r="A59" s="201" t="s">
        <v>104</v>
      </c>
      <c r="B59" s="568" t="s">
        <v>252</v>
      </c>
      <c r="C59" s="568"/>
      <c r="D59" s="568"/>
      <c r="E59" s="568"/>
      <c r="F59" s="568"/>
      <c r="G59" s="568"/>
      <c r="H59" s="568"/>
    </row>
    <row r="60" spans="1:8" ht="20.25" customHeight="1" x14ac:dyDescent="0.25">
      <c r="A60" s="201" t="s">
        <v>253</v>
      </c>
      <c r="B60" s="569" t="s">
        <v>310</v>
      </c>
      <c r="C60" s="569"/>
      <c r="D60" s="569"/>
      <c r="E60" s="569"/>
      <c r="F60" s="569"/>
      <c r="G60" s="569"/>
      <c r="H60" s="569"/>
    </row>
    <row r="61" spans="1:8" ht="25.5" customHeight="1" x14ac:dyDescent="0.25">
      <c r="A61" s="201" t="s">
        <v>255</v>
      </c>
      <c r="B61" s="569" t="s">
        <v>298</v>
      </c>
      <c r="C61" s="569"/>
      <c r="D61" s="569"/>
      <c r="E61" s="569"/>
      <c r="F61" s="569"/>
      <c r="G61" s="569"/>
      <c r="H61" s="569"/>
    </row>
    <row r="62" spans="1:8" x14ac:dyDescent="0.25">
      <c r="A62" s="201" t="s">
        <v>257</v>
      </c>
      <c r="B62" s="569" t="s">
        <v>292</v>
      </c>
      <c r="C62" s="569"/>
      <c r="D62" s="569"/>
      <c r="E62" s="569"/>
      <c r="F62" s="569"/>
      <c r="G62" s="569"/>
      <c r="H62" s="569"/>
    </row>
    <row r="63" spans="1:8" ht="15" customHeight="1" x14ac:dyDescent="0.25">
      <c r="A63" s="201" t="s">
        <v>259</v>
      </c>
      <c r="B63" s="569" t="s">
        <v>262</v>
      </c>
      <c r="C63" s="569"/>
      <c r="D63" s="569"/>
      <c r="E63" s="569"/>
      <c r="F63" s="569"/>
      <c r="G63" s="569"/>
      <c r="H63" s="569"/>
    </row>
    <row r="64" spans="1:8" ht="15" customHeight="1" x14ac:dyDescent="0.25">
      <c r="A64" s="201" t="s">
        <v>261</v>
      </c>
      <c r="B64" s="569" t="s">
        <v>293</v>
      </c>
      <c r="C64" s="569"/>
      <c r="D64" s="569"/>
      <c r="E64" s="569"/>
      <c r="F64" s="569"/>
      <c r="G64" s="569"/>
      <c r="H64" s="569"/>
    </row>
    <row r="65" spans="1:8" x14ac:dyDescent="0.25">
      <c r="A65" s="268"/>
      <c r="B65" s="269"/>
      <c r="C65" s="269"/>
      <c r="D65" s="269"/>
      <c r="E65" s="269"/>
      <c r="F65" s="269"/>
      <c r="G65" s="269"/>
      <c r="H65" s="269"/>
    </row>
    <row r="66" spans="1:8" ht="87.75" customHeight="1" x14ac:dyDescent="0.25">
      <c r="A66" s="601" t="s">
        <v>163</v>
      </c>
      <c r="B66" s="601"/>
      <c r="C66" s="601"/>
      <c r="D66" s="601"/>
      <c r="E66" s="601"/>
      <c r="F66" s="601"/>
      <c r="G66" s="601"/>
      <c r="H66" s="601"/>
    </row>
  </sheetData>
  <sheetProtection password="C712" sheet="1" objects="1" scenarios="1"/>
  <mergeCells count="21">
    <mergeCell ref="A66:H66"/>
    <mergeCell ref="B61:H61"/>
    <mergeCell ref="B62:H62"/>
    <mergeCell ref="B64:H64"/>
    <mergeCell ref="B54:H54"/>
    <mergeCell ref="B55:H55"/>
    <mergeCell ref="B56:H56"/>
    <mergeCell ref="B59:H59"/>
    <mergeCell ref="B63:H63"/>
    <mergeCell ref="B60:H60"/>
    <mergeCell ref="C28:F29"/>
    <mergeCell ref="G28:H29"/>
    <mergeCell ref="A30:A32"/>
    <mergeCell ref="B30:B32"/>
    <mergeCell ref="C30:C31"/>
    <mergeCell ref="F30:F31"/>
    <mergeCell ref="C3:F4"/>
    <mergeCell ref="G3:H4"/>
    <mergeCell ref="A5:A7"/>
    <mergeCell ref="B5:B7"/>
    <mergeCell ref="C5:C6"/>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topLeftCell="B1" zoomScale="115" zoomScaleNormal="115" workbookViewId="0">
      <selection activeCell="I13" sqref="I13"/>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8" t="s">
        <v>174</v>
      </c>
      <c r="B1" s="154" t="str">
        <f>+AMAZONAS!C1</f>
        <v>Vigencia: 16 de Diciembre de 2020; 00:00 horas</v>
      </c>
      <c r="C1" s="154"/>
      <c r="D1" s="269"/>
      <c r="E1" s="269"/>
      <c r="F1" s="269"/>
      <c r="G1" s="269"/>
      <c r="H1" s="269"/>
      <c r="I1" s="269"/>
    </row>
    <row r="2" spans="1:9" ht="15.75" thickBot="1" x14ac:dyDescent="0.3">
      <c r="A2" s="180" t="s">
        <v>202</v>
      </c>
      <c r="B2" s="181"/>
      <c r="C2" s="181"/>
      <c r="D2" s="181"/>
      <c r="E2" s="181"/>
      <c r="F2" s="181"/>
      <c r="G2" s="181"/>
      <c r="H2" s="270"/>
      <c r="I2" s="181"/>
    </row>
    <row r="3" spans="1:9" ht="15.75" thickTop="1" x14ac:dyDescent="0.25">
      <c r="A3" s="212"/>
      <c r="B3" s="183" t="s">
        <v>312</v>
      </c>
      <c r="C3" s="554" t="s">
        <v>203</v>
      </c>
      <c r="D3" s="555"/>
      <c r="E3" s="555"/>
      <c r="F3" s="555"/>
      <c r="G3" s="555"/>
      <c r="H3" s="591" t="s">
        <v>275</v>
      </c>
      <c r="I3" s="592"/>
    </row>
    <row r="4" spans="1:9" ht="25.5" x14ac:dyDescent="0.25">
      <c r="A4" s="184"/>
      <c r="B4" s="298" t="s">
        <v>311</v>
      </c>
      <c r="C4" s="556"/>
      <c r="D4" s="557"/>
      <c r="E4" s="557"/>
      <c r="F4" s="557"/>
      <c r="G4" s="557"/>
      <c r="H4" s="594"/>
      <c r="I4" s="595"/>
    </row>
    <row r="5" spans="1:9" ht="25.5" customHeight="1" x14ac:dyDescent="0.25">
      <c r="A5" s="562" t="s">
        <v>204</v>
      </c>
      <c r="B5" s="564" t="s">
        <v>205</v>
      </c>
      <c r="C5" s="566" t="s">
        <v>266</v>
      </c>
      <c r="D5" s="186" t="s">
        <v>97</v>
      </c>
      <c r="E5" s="186" t="s">
        <v>194</v>
      </c>
      <c r="F5" s="186" t="str">
        <f>+'LA GUAJIRA'!F5</f>
        <v>Biodiesel B10</v>
      </c>
      <c r="G5" s="588" t="s">
        <v>440</v>
      </c>
      <c r="H5" s="156" t="s">
        <v>97</v>
      </c>
      <c r="I5" s="252" t="str">
        <f>+F5</f>
        <v>Biodiesel B10</v>
      </c>
    </row>
    <row r="6" spans="1:9" x14ac:dyDescent="0.25">
      <c r="A6" s="562"/>
      <c r="B6" s="564"/>
      <c r="C6" s="567"/>
      <c r="D6" s="187">
        <v>0.08</v>
      </c>
      <c r="E6" s="205">
        <v>0.02</v>
      </c>
      <c r="F6" s="188">
        <f>+'LA GUAJIRA'!F6</f>
        <v>0.1</v>
      </c>
      <c r="G6" s="589"/>
      <c r="H6" s="299">
        <v>0.1</v>
      </c>
      <c r="I6" s="188">
        <f>+F6</f>
        <v>0.1</v>
      </c>
    </row>
    <row r="7" spans="1:9" x14ac:dyDescent="0.25">
      <c r="A7" s="563"/>
      <c r="B7" s="565"/>
      <c r="C7" s="156" t="s">
        <v>206</v>
      </c>
      <c r="D7" s="186" t="s">
        <v>206</v>
      </c>
      <c r="E7" s="186" t="s">
        <v>206</v>
      </c>
      <c r="F7" s="186" t="s">
        <v>206</v>
      </c>
      <c r="G7" s="186" t="s">
        <v>206</v>
      </c>
      <c r="H7" s="156" t="s">
        <v>206</v>
      </c>
      <c r="I7" s="252" t="s">
        <v>206</v>
      </c>
    </row>
    <row r="8" spans="1:9" x14ac:dyDescent="0.25">
      <c r="A8" s="158" t="s">
        <v>207</v>
      </c>
      <c r="B8" s="164" t="s">
        <v>208</v>
      </c>
      <c r="C8" s="290">
        <f>+'Calculo IP ZDF'!B33</f>
        <v>4055.21</v>
      </c>
      <c r="D8" s="290">
        <f>+'Calculo IP ZDF'!G33</f>
        <v>4474.7190000000001</v>
      </c>
      <c r="E8" s="290">
        <f>+'Calculo IP ZDF'!F33</f>
        <v>4360.6327362000002</v>
      </c>
      <c r="F8" s="291">
        <f>+'Calculo IP ZDF'!H33</f>
        <v>5162.2959210000008</v>
      </c>
      <c r="G8" s="195">
        <f>+'Calculo IP ZDF'!C33</f>
        <v>4160.2176900000004</v>
      </c>
      <c r="H8" s="273">
        <f>+'GAS CTE'!D9</f>
        <v>4474.72</v>
      </c>
      <c r="I8" s="218">
        <f>+BIODIESEL!G9</f>
        <v>5266.59</v>
      </c>
    </row>
    <row r="9" spans="1:9" x14ac:dyDescent="0.25">
      <c r="A9" s="158" t="s">
        <v>209</v>
      </c>
      <c r="B9" s="164" t="s">
        <v>210</v>
      </c>
      <c r="C9" s="216" t="str">
        <f>+E9</f>
        <v>------------------</v>
      </c>
      <c r="D9" s="216" t="s">
        <v>211</v>
      </c>
      <c r="E9" s="216" t="s">
        <v>211</v>
      </c>
      <c r="F9" s="216" t="s">
        <v>211</v>
      </c>
      <c r="G9" s="190" t="s">
        <v>211</v>
      </c>
      <c r="H9" s="275">
        <f>+'GAS CTE'!D10</f>
        <v>491.63400000000001</v>
      </c>
      <c r="I9" s="215">
        <f>+BIODIESEL!G10</f>
        <v>470.57</v>
      </c>
    </row>
    <row r="10" spans="1:9" x14ac:dyDescent="0.25">
      <c r="A10" s="158"/>
      <c r="B10" s="164" t="s">
        <v>138</v>
      </c>
      <c r="C10" s="216" t="str">
        <f>+E10</f>
        <v>------------------</v>
      </c>
      <c r="D10" s="216" t="s">
        <v>211</v>
      </c>
      <c r="E10" s="216" t="s">
        <v>211</v>
      </c>
      <c r="F10" s="216" t="s">
        <v>211</v>
      </c>
      <c r="G10" s="190" t="s">
        <v>211</v>
      </c>
      <c r="H10" s="275" t="str">
        <f>'[6]CORRIENTE OXIGENADA'!C12</f>
        <v>(3)</v>
      </c>
      <c r="I10" s="215" t="str">
        <f>'[6]CORRIENTE OXIGENADA'!C12</f>
        <v>(3)</v>
      </c>
    </row>
    <row r="11" spans="1:9" x14ac:dyDescent="0.25">
      <c r="A11" s="158"/>
      <c r="B11" s="164" t="s">
        <v>140</v>
      </c>
      <c r="C11" s="276">
        <f>+'GAS CTE'!C12</f>
        <v>155</v>
      </c>
      <c r="D11" s="276">
        <f>+'GAS CTE'!D12</f>
        <v>139.5</v>
      </c>
      <c r="E11" s="276">
        <f>+BIODIESEL!E12</f>
        <v>170.52</v>
      </c>
      <c r="F11" s="276">
        <f>+BIODIESEL!G12</f>
        <v>156.6</v>
      </c>
      <c r="G11" s="195">
        <f>+BIODIESEL!C12</f>
        <v>174</v>
      </c>
      <c r="H11" s="275">
        <f>+D11</f>
        <v>139.5</v>
      </c>
      <c r="I11" s="215">
        <f>+F11</f>
        <v>156.6</v>
      </c>
    </row>
    <row r="12" spans="1:9" x14ac:dyDescent="0.25">
      <c r="A12" s="158" t="s">
        <v>212</v>
      </c>
      <c r="B12" s="164" t="s">
        <v>296</v>
      </c>
      <c r="C12" s="293" t="s">
        <v>240</v>
      </c>
      <c r="D12" s="216" t="str">
        <f>+C12</f>
        <v>(2)</v>
      </c>
      <c r="E12" s="216" t="str">
        <f>+C12</f>
        <v>(2)</v>
      </c>
      <c r="F12" s="216" t="str">
        <f>+C12</f>
        <v>(2)</v>
      </c>
      <c r="G12" s="189" t="str">
        <f>+C12</f>
        <v>(2)</v>
      </c>
      <c r="H12" s="275" t="str">
        <f>+G12</f>
        <v>(2)</v>
      </c>
      <c r="I12" s="215" t="str">
        <f>+D12</f>
        <v>(2)</v>
      </c>
    </row>
    <row r="13" spans="1:9" x14ac:dyDescent="0.25">
      <c r="A13" s="158" t="s">
        <v>214</v>
      </c>
      <c r="B13" s="164" t="s">
        <v>215</v>
      </c>
      <c r="C13" s="276">
        <f>+RUBROS!W18</f>
        <v>14.910525530945948</v>
      </c>
      <c r="D13" s="189">
        <f>+C13</f>
        <v>14.910525530945948</v>
      </c>
      <c r="E13" s="189">
        <f>+C13</f>
        <v>14.910525530945948</v>
      </c>
      <c r="F13" s="189">
        <f>+C13</f>
        <v>14.910525530945948</v>
      </c>
      <c r="G13" s="189">
        <f>+C13</f>
        <v>14.910525530945948</v>
      </c>
      <c r="H13" s="273">
        <f>+RUBROS!X18</f>
        <v>21.906900579364827</v>
      </c>
      <c r="I13" s="189">
        <f>+H13</f>
        <v>21.906900579364827</v>
      </c>
    </row>
    <row r="14" spans="1:9" x14ac:dyDescent="0.25">
      <c r="A14" s="158" t="s">
        <v>216</v>
      </c>
      <c r="B14" s="324" t="s">
        <v>217</v>
      </c>
      <c r="C14" s="367">
        <f>+RUBROS!W54</f>
        <v>104.89393330283374</v>
      </c>
      <c r="D14" s="189">
        <f>+C14</f>
        <v>104.89393330283374</v>
      </c>
      <c r="E14" s="189">
        <f>+D14</f>
        <v>104.89393330283374</v>
      </c>
      <c r="F14" s="189">
        <f>+E14</f>
        <v>104.89393330283374</v>
      </c>
      <c r="G14" s="189">
        <f>+F14</f>
        <v>104.89393330283374</v>
      </c>
      <c r="H14" s="273">
        <f>+C14</f>
        <v>104.89393330283374</v>
      </c>
      <c r="I14" s="189">
        <f>+C14</f>
        <v>104.89393330283374</v>
      </c>
    </row>
    <row r="15" spans="1:9" x14ac:dyDescent="0.25">
      <c r="A15" s="158" t="s">
        <v>218</v>
      </c>
      <c r="B15" s="164" t="s">
        <v>313</v>
      </c>
      <c r="C15" s="276">
        <f>+RUBROS!AK40</f>
        <v>12.561430159485083</v>
      </c>
      <c r="D15" s="189">
        <f>+C15</f>
        <v>12.561430159485083</v>
      </c>
      <c r="E15" s="189">
        <f>+C15</f>
        <v>12.561430159485083</v>
      </c>
      <c r="F15" s="189">
        <f>+C15</f>
        <v>12.561430159485083</v>
      </c>
      <c r="G15" s="189">
        <f>+C15</f>
        <v>12.561430159485083</v>
      </c>
      <c r="H15" s="273">
        <f>+C15</f>
        <v>12.561430159485083</v>
      </c>
      <c r="I15" s="189">
        <f>+H15</f>
        <v>12.561430159485083</v>
      </c>
    </row>
    <row r="16" spans="1:9" x14ac:dyDescent="0.25">
      <c r="A16" s="158"/>
      <c r="B16" s="164" t="s">
        <v>220</v>
      </c>
      <c r="C16" s="276">
        <f>+'GAS CTE'!C16</f>
        <v>71.510000000000005</v>
      </c>
      <c r="D16" s="189">
        <f>+C16</f>
        <v>71.510000000000005</v>
      </c>
      <c r="E16" s="189">
        <f>+C16</f>
        <v>71.510000000000005</v>
      </c>
      <c r="F16" s="189">
        <f>+C16</f>
        <v>71.510000000000005</v>
      </c>
      <c r="G16" s="189">
        <f>+C16</f>
        <v>71.510000000000005</v>
      </c>
      <c r="H16" s="273">
        <f>+C16</f>
        <v>71.510000000000005</v>
      </c>
      <c r="I16" s="189">
        <f>+C16</f>
        <v>71.510000000000005</v>
      </c>
    </row>
    <row r="17" spans="1:9" x14ac:dyDescent="0.25">
      <c r="A17" s="165" t="s">
        <v>221</v>
      </c>
      <c r="B17" s="196" t="s">
        <v>222</v>
      </c>
      <c r="C17" s="277">
        <f>SUM(C8:C16)</f>
        <v>4414.0858889932651</v>
      </c>
      <c r="D17" s="277">
        <f t="shared" ref="D17:I17" si="0">SUM(D8:D16)</f>
        <v>4818.0948889932652</v>
      </c>
      <c r="E17" s="277">
        <f t="shared" si="0"/>
        <v>4735.0286251932657</v>
      </c>
      <c r="F17" s="277">
        <f t="shared" si="0"/>
        <v>5522.7718099932663</v>
      </c>
      <c r="G17" s="277">
        <f t="shared" si="0"/>
        <v>4538.0935789932655</v>
      </c>
      <c r="H17" s="279">
        <f t="shared" si="0"/>
        <v>5316.7262640416839</v>
      </c>
      <c r="I17" s="277">
        <f t="shared" si="0"/>
        <v>6104.6322640416838</v>
      </c>
    </row>
    <row r="18" spans="1:9" x14ac:dyDescent="0.25">
      <c r="A18" s="158" t="s">
        <v>223</v>
      </c>
      <c r="B18" s="164" t="s">
        <v>290</v>
      </c>
      <c r="C18" s="294" t="s">
        <v>255</v>
      </c>
      <c r="D18" s="189" t="str">
        <f>+C18</f>
        <v>***</v>
      </c>
      <c r="E18" s="189" t="str">
        <f>+C18</f>
        <v>***</v>
      </c>
      <c r="F18" s="189" t="str">
        <f>+E18</f>
        <v>***</v>
      </c>
      <c r="G18" s="189" t="str">
        <f>+E18</f>
        <v>***</v>
      </c>
      <c r="H18" s="273" t="str">
        <f>+G18</f>
        <v>***</v>
      </c>
      <c r="I18" s="189" t="str">
        <f>+H18</f>
        <v>***</v>
      </c>
    </row>
    <row r="19" spans="1:9" x14ac:dyDescent="0.25">
      <c r="A19" s="158" t="s">
        <v>225</v>
      </c>
      <c r="B19" s="164" t="s">
        <v>226</v>
      </c>
      <c r="C19" s="293" t="s">
        <v>253</v>
      </c>
      <c r="D19" s="189" t="str">
        <f>+C19</f>
        <v>**</v>
      </c>
      <c r="E19" s="189" t="str">
        <f>+C19</f>
        <v>**</v>
      </c>
      <c r="F19" s="189" t="str">
        <f>+C19</f>
        <v>**</v>
      </c>
      <c r="G19" s="189" t="str">
        <f>+C19</f>
        <v>**</v>
      </c>
      <c r="H19" s="273" t="str">
        <f>+G19</f>
        <v>**</v>
      </c>
      <c r="I19" s="189" t="str">
        <f>+H19</f>
        <v>**</v>
      </c>
    </row>
    <row r="20" spans="1:9" x14ac:dyDescent="0.25">
      <c r="A20" s="158" t="s">
        <v>227</v>
      </c>
      <c r="B20" s="235" t="s">
        <v>145</v>
      </c>
      <c r="C20" s="281" t="str">
        <f>+E20</f>
        <v>****</v>
      </c>
      <c r="D20" s="189" t="str">
        <f t="shared" ref="D20:D22" si="1">+E20</f>
        <v>****</v>
      </c>
      <c r="E20" s="195" t="str">
        <f>+A37</f>
        <v>****</v>
      </c>
      <c r="F20" s="195" t="str">
        <f>+E20</f>
        <v>****</v>
      </c>
      <c r="G20" s="195" t="str">
        <f>+A37</f>
        <v>****</v>
      </c>
      <c r="H20" s="296" t="str">
        <f>C20</f>
        <v>****</v>
      </c>
      <c r="I20" s="189" t="str">
        <f>+H20</f>
        <v>****</v>
      </c>
    </row>
    <row r="21" spans="1:9" x14ac:dyDescent="0.25">
      <c r="A21" s="165" t="s">
        <v>229</v>
      </c>
      <c r="B21" s="196" t="s">
        <v>230</v>
      </c>
      <c r="C21" s="282">
        <f>SUM(C17:C20)</f>
        <v>4414.0858889932651</v>
      </c>
      <c r="D21" s="197">
        <f t="shared" ref="D21:I21" si="2">SUM(D17:D20)</f>
        <v>4818.0948889932652</v>
      </c>
      <c r="E21" s="197">
        <f t="shared" si="2"/>
        <v>4735.0286251932657</v>
      </c>
      <c r="F21" s="197">
        <f t="shared" si="2"/>
        <v>5522.7718099932663</v>
      </c>
      <c r="G21" s="197">
        <f t="shared" si="2"/>
        <v>4538.0935789932655</v>
      </c>
      <c r="H21" s="279">
        <f t="shared" si="2"/>
        <v>5316.7262640416839</v>
      </c>
      <c r="I21" s="197">
        <f t="shared" si="2"/>
        <v>6104.6322640416838</v>
      </c>
    </row>
    <row r="22" spans="1:9" x14ac:dyDescent="0.25">
      <c r="A22" s="158" t="s">
        <v>231</v>
      </c>
      <c r="B22" s="164" t="s">
        <v>176</v>
      </c>
      <c r="C22" s="276" t="str">
        <f>+E22</f>
        <v>***</v>
      </c>
      <c r="D22" s="189" t="str">
        <f t="shared" si="1"/>
        <v>***</v>
      </c>
      <c r="E22" s="189" t="str">
        <f t="shared" ref="E22" si="3">+E18</f>
        <v>***</v>
      </c>
      <c r="F22" s="189" t="str">
        <f>+E22</f>
        <v>***</v>
      </c>
      <c r="G22" s="189" t="str">
        <f>+G18</f>
        <v>***</v>
      </c>
      <c r="H22" s="273" t="str">
        <f>+G22</f>
        <v>***</v>
      </c>
      <c r="I22" s="189" t="str">
        <f>+H22</f>
        <v>***</v>
      </c>
    </row>
    <row r="23" spans="1:9" x14ac:dyDescent="0.25">
      <c r="A23" s="158" t="s">
        <v>232</v>
      </c>
      <c r="B23" s="159" t="s">
        <v>233</v>
      </c>
      <c r="C23" s="283" t="s">
        <v>259</v>
      </c>
      <c r="D23" s="189" t="str">
        <f>+C23</f>
        <v>*****</v>
      </c>
      <c r="E23" s="189" t="s">
        <v>234</v>
      </c>
      <c r="F23" s="189" t="str">
        <f>+E23</f>
        <v>N.A</v>
      </c>
      <c r="G23" s="189" t="s">
        <v>234</v>
      </c>
      <c r="H23" s="273" t="str">
        <f>+D23</f>
        <v>*****</v>
      </c>
      <c r="I23" s="189" t="s">
        <v>279</v>
      </c>
    </row>
    <row r="24" spans="1:9" x14ac:dyDescent="0.25">
      <c r="A24" s="158" t="s">
        <v>235</v>
      </c>
      <c r="B24" s="159" t="s">
        <v>236</v>
      </c>
      <c r="C24" s="283" t="s">
        <v>261</v>
      </c>
      <c r="D24" s="189" t="str">
        <f>+C24</f>
        <v>******</v>
      </c>
      <c r="E24" s="189" t="str">
        <f>+C24</f>
        <v>******</v>
      </c>
      <c r="F24" s="189" t="str">
        <f>+C24</f>
        <v>******</v>
      </c>
      <c r="G24" s="189" t="str">
        <f>+C24</f>
        <v>******</v>
      </c>
      <c r="H24" s="273" t="str">
        <f>+C24</f>
        <v>******</v>
      </c>
      <c r="I24" s="189" t="str">
        <f>+C24</f>
        <v>******</v>
      </c>
    </row>
    <row r="25" spans="1:9" ht="15.75" thickBot="1" x14ac:dyDescent="0.3">
      <c r="A25" s="169" t="s">
        <v>237</v>
      </c>
      <c r="B25" s="170" t="s">
        <v>238</v>
      </c>
      <c r="C25" s="284"/>
      <c r="D25" s="199"/>
      <c r="E25" s="199"/>
      <c r="F25" s="199"/>
      <c r="G25" s="199"/>
      <c r="H25" s="285"/>
      <c r="I25" s="199"/>
    </row>
    <row r="26" spans="1:9" ht="15.75" thickTop="1" x14ac:dyDescent="0.25">
      <c r="A26" s="174"/>
      <c r="B26" s="175"/>
      <c r="C26" s="175"/>
      <c r="D26" s="176"/>
      <c r="E26" s="176"/>
      <c r="F26" s="176"/>
      <c r="G26" s="176"/>
      <c r="H26" s="176"/>
      <c r="I26" s="176"/>
    </row>
    <row r="27" spans="1:9" x14ac:dyDescent="0.25">
      <c r="A27" s="174"/>
      <c r="B27" s="292" t="s">
        <v>251</v>
      </c>
      <c r="C27" s="175"/>
      <c r="D27" s="176"/>
      <c r="E27" s="176"/>
      <c r="F27" s="176"/>
      <c r="G27" s="176"/>
      <c r="H27" s="176"/>
      <c r="I27" s="176"/>
    </row>
    <row r="28" spans="1:9" x14ac:dyDescent="0.25">
      <c r="A28" s="174"/>
      <c r="B28" s="175"/>
      <c r="C28" s="175"/>
      <c r="D28" s="176"/>
      <c r="E28" s="176"/>
      <c r="F28" s="176"/>
      <c r="G28" s="176"/>
      <c r="H28" s="176"/>
      <c r="I28" s="176"/>
    </row>
    <row r="29" spans="1:9" x14ac:dyDescent="0.25">
      <c r="A29" s="177" t="s">
        <v>213</v>
      </c>
      <c r="B29" s="571" t="str">
        <f>+'LA GUAJIRA'!B54:H54</f>
        <v>De acuerdo con lo establecido en la Resolución MME 91349 de 2014</v>
      </c>
      <c r="C29" s="571"/>
      <c r="D29" s="571"/>
      <c r="E29" s="571"/>
      <c r="F29" s="571"/>
      <c r="G29" s="571"/>
      <c r="H29" s="571"/>
      <c r="I29" s="176"/>
    </row>
    <row r="30" spans="1:9" x14ac:dyDescent="0.25">
      <c r="A30" s="177" t="s">
        <v>240</v>
      </c>
      <c r="B30" s="568" t="s">
        <v>297</v>
      </c>
      <c r="C30" s="568"/>
      <c r="D30" s="568"/>
      <c r="E30" s="568"/>
      <c r="F30" s="568"/>
      <c r="G30" s="568"/>
      <c r="H30" s="568"/>
      <c r="I30" s="176"/>
    </row>
    <row r="31" spans="1:9" ht="52.5" customHeight="1" x14ac:dyDescent="0.25">
      <c r="A31" s="177" t="s">
        <v>139</v>
      </c>
      <c r="B31" s="571" t="s">
        <v>365</v>
      </c>
      <c r="C31" s="571"/>
      <c r="D31" s="571"/>
      <c r="E31" s="571"/>
      <c r="F31" s="571"/>
      <c r="G31" s="571"/>
      <c r="H31" s="571"/>
      <c r="I31" s="176"/>
    </row>
    <row r="32" spans="1:9" x14ac:dyDescent="0.25">
      <c r="A32" s="177"/>
      <c r="B32" s="253"/>
      <c r="C32" s="253"/>
      <c r="D32" s="253"/>
      <c r="E32" s="253"/>
      <c r="F32" s="253"/>
      <c r="G32" s="253"/>
      <c r="H32" s="253"/>
      <c r="I32" s="176"/>
    </row>
    <row r="33" spans="1:18" x14ac:dyDescent="0.25">
      <c r="A33" s="177"/>
      <c r="B33" s="200" t="s">
        <v>174</v>
      </c>
      <c r="C33" s="200"/>
      <c r="D33" s="232"/>
      <c r="E33" s="232"/>
      <c r="F33" s="232"/>
      <c r="G33" s="232"/>
      <c r="H33" s="232"/>
      <c r="I33" s="232"/>
    </row>
    <row r="34" spans="1:18" x14ac:dyDescent="0.25">
      <c r="A34" s="201" t="s">
        <v>104</v>
      </c>
      <c r="B34" s="569" t="s">
        <v>252</v>
      </c>
      <c r="C34" s="569"/>
      <c r="D34" s="569"/>
      <c r="E34" s="569"/>
      <c r="F34" s="569"/>
      <c r="G34" s="569"/>
      <c r="H34" s="569"/>
      <c r="I34" s="287"/>
    </row>
    <row r="35" spans="1:18" x14ac:dyDescent="0.25">
      <c r="A35" s="201" t="s">
        <v>253</v>
      </c>
      <c r="B35" s="569" t="s">
        <v>287</v>
      </c>
      <c r="C35" s="569"/>
      <c r="D35" s="569"/>
      <c r="E35" s="569"/>
      <c r="F35" s="569"/>
      <c r="G35" s="569"/>
      <c r="H35" s="569"/>
      <c r="I35" s="569"/>
    </row>
    <row r="36" spans="1:18" x14ac:dyDescent="0.25">
      <c r="A36" s="201" t="s">
        <v>255</v>
      </c>
      <c r="B36" s="569" t="s">
        <v>298</v>
      </c>
      <c r="C36" s="569"/>
      <c r="D36" s="569"/>
      <c r="E36" s="569"/>
      <c r="F36" s="569"/>
      <c r="G36" s="569"/>
      <c r="H36" s="569"/>
      <c r="I36" s="569"/>
    </row>
    <row r="37" spans="1:18" x14ac:dyDescent="0.25">
      <c r="A37" s="201" t="s">
        <v>257</v>
      </c>
      <c r="B37" s="569" t="s">
        <v>292</v>
      </c>
      <c r="C37" s="569"/>
      <c r="D37" s="569"/>
      <c r="E37" s="569"/>
      <c r="F37" s="569"/>
      <c r="G37" s="569"/>
      <c r="H37" s="569"/>
      <c r="I37" s="569"/>
    </row>
    <row r="38" spans="1:18" x14ac:dyDescent="0.25">
      <c r="A38" s="201" t="s">
        <v>259</v>
      </c>
      <c r="B38" s="569" t="s">
        <v>262</v>
      </c>
      <c r="C38" s="569"/>
      <c r="D38" s="569"/>
      <c r="E38" s="569"/>
      <c r="F38" s="569"/>
      <c r="G38" s="569"/>
      <c r="H38" s="251"/>
      <c r="I38" s="288"/>
    </row>
    <row r="39" spans="1:18" x14ac:dyDescent="0.25">
      <c r="A39" s="201" t="s">
        <v>261</v>
      </c>
      <c r="B39" s="569" t="s">
        <v>293</v>
      </c>
      <c r="C39" s="569"/>
      <c r="D39" s="569"/>
      <c r="E39" s="569"/>
      <c r="F39" s="569"/>
      <c r="G39" s="569"/>
      <c r="H39" s="569"/>
      <c r="I39" s="569"/>
    </row>
    <row r="40" spans="1:18" x14ac:dyDescent="0.25">
      <c r="A40" s="268"/>
      <c r="B40" s="269"/>
      <c r="C40" s="269"/>
      <c r="D40" s="269"/>
      <c r="E40" s="269"/>
      <c r="F40" s="269"/>
      <c r="G40" s="269"/>
      <c r="H40" s="269"/>
      <c r="I40" s="269"/>
    </row>
    <row r="41" spans="1:18" ht="97.5" customHeight="1" x14ac:dyDescent="0.25">
      <c r="A41" s="573" t="s">
        <v>163</v>
      </c>
      <c r="B41" s="573"/>
      <c r="C41" s="573"/>
      <c r="D41" s="573"/>
      <c r="E41" s="573"/>
      <c r="F41" s="573"/>
      <c r="G41" s="573"/>
      <c r="H41" s="573"/>
    </row>
    <row r="42" spans="1:18" x14ac:dyDescent="0.25">
      <c r="A42" s="302"/>
      <c r="B42" s="302"/>
      <c r="C42" s="302"/>
      <c r="D42" s="302"/>
      <c r="E42" s="302"/>
      <c r="F42" s="302"/>
      <c r="G42" s="302"/>
      <c r="H42" s="302"/>
    </row>
    <row r="43" spans="1:18" hidden="1" x14ac:dyDescent="0.25">
      <c r="B43" t="str">
        <f>+AMAZONAS!C1</f>
        <v>Vigencia: 16 de Diciembre de 2020; 00:00 horas</v>
      </c>
    </row>
    <row r="44" spans="1:18" hidden="1" x14ac:dyDescent="0.25">
      <c r="A44" s="602" t="s">
        <v>202</v>
      </c>
      <c r="B44" s="602"/>
      <c r="C44" s="603"/>
      <c r="D44" s="603"/>
      <c r="E44" s="603"/>
      <c r="F44" s="603"/>
      <c r="G44" s="603"/>
      <c r="H44" s="603"/>
      <c r="I44" s="603"/>
      <c r="J44" s="603"/>
      <c r="K44" s="603"/>
      <c r="L44" s="603"/>
      <c r="M44" s="603"/>
      <c r="N44" s="254"/>
      <c r="O44" s="254"/>
      <c r="P44" s="254"/>
      <c r="Q44" s="316"/>
      <c r="R44" s="316"/>
    </row>
    <row r="45" spans="1:18" ht="15.75" hidden="1" thickTop="1" x14ac:dyDescent="0.25">
      <c r="A45" s="317"/>
      <c r="B45" s="611" t="s">
        <v>312</v>
      </c>
      <c r="C45" s="575" t="s">
        <v>203</v>
      </c>
      <c r="D45" s="575"/>
      <c r="E45" s="608" t="s">
        <v>275</v>
      </c>
      <c r="F45" s="581"/>
    </row>
    <row r="46" spans="1:18" hidden="1" x14ac:dyDescent="0.25">
      <c r="A46" s="155"/>
      <c r="B46" s="612"/>
      <c r="C46" s="607"/>
      <c r="D46" s="607"/>
      <c r="E46" s="609"/>
      <c r="F46" s="610"/>
    </row>
    <row r="47" spans="1:18" ht="25.5" hidden="1" customHeight="1" x14ac:dyDescent="0.25">
      <c r="A47" s="562" t="s">
        <v>204</v>
      </c>
      <c r="B47" s="604" t="s">
        <v>205</v>
      </c>
      <c r="C47" s="318" t="s">
        <v>97</v>
      </c>
      <c r="D47" s="319" t="s">
        <v>314</v>
      </c>
      <c r="E47" s="318" t="s">
        <v>97</v>
      </c>
      <c r="F47" s="319" t="s">
        <v>314</v>
      </c>
    </row>
    <row r="48" spans="1:18" hidden="1" x14ac:dyDescent="0.25">
      <c r="A48" s="562"/>
      <c r="B48" s="604"/>
      <c r="C48" s="320" t="s">
        <v>315</v>
      </c>
      <c r="D48" s="321" t="s">
        <v>315</v>
      </c>
      <c r="E48" s="320" t="s">
        <v>315</v>
      </c>
      <c r="F48" s="321" t="s">
        <v>315</v>
      </c>
    </row>
    <row r="49" spans="1:6" hidden="1" x14ac:dyDescent="0.25">
      <c r="A49" s="563"/>
      <c r="B49" s="605"/>
      <c r="C49" s="322" t="s">
        <v>206</v>
      </c>
      <c r="D49" s="323" t="s">
        <v>206</v>
      </c>
      <c r="E49" s="322" t="s">
        <v>206</v>
      </c>
      <c r="F49" s="323" t="s">
        <v>206</v>
      </c>
    </row>
    <row r="50" spans="1:6" hidden="1" x14ac:dyDescent="0.25">
      <c r="A50" s="158" t="s">
        <v>207</v>
      </c>
      <c r="B50" s="324" t="s">
        <v>208</v>
      </c>
      <c r="C50" s="160" t="e">
        <f>+'Calculo IP ZDF'!#REF!</f>
        <v>#REF!</v>
      </c>
      <c r="D50" s="160" t="e">
        <f>+'Calculo IP ZDF'!#REF!</f>
        <v>#REF!</v>
      </c>
      <c r="E50" s="198" t="e">
        <f>+'Calculo IP ZDF'!#REF!</f>
        <v>#REF!</v>
      </c>
      <c r="F50" s="161" t="e">
        <f>+'Calculo IP ZDF'!#REF!</f>
        <v>#REF!</v>
      </c>
    </row>
    <row r="51" spans="1:6" hidden="1" x14ac:dyDescent="0.25">
      <c r="A51" s="158" t="s">
        <v>209</v>
      </c>
      <c r="B51" s="324" t="s">
        <v>210</v>
      </c>
      <c r="C51" s="168" t="s">
        <v>211</v>
      </c>
      <c r="D51" s="163" t="s">
        <v>211</v>
      </c>
      <c r="E51" s="198">
        <v>526.26030379999997</v>
      </c>
      <c r="F51" s="161">
        <v>503.70629078000002</v>
      </c>
    </row>
    <row r="52" spans="1:6" hidden="1" x14ac:dyDescent="0.25">
      <c r="A52" s="158"/>
      <c r="B52" s="324" t="s">
        <v>138</v>
      </c>
      <c r="C52" s="168" t="s">
        <v>211</v>
      </c>
      <c r="D52" s="163" t="s">
        <v>211</v>
      </c>
      <c r="E52" s="325" t="s">
        <v>240</v>
      </c>
      <c r="F52" s="163" t="s">
        <v>240</v>
      </c>
    </row>
    <row r="53" spans="1:6" hidden="1" x14ac:dyDescent="0.25">
      <c r="A53" s="158"/>
      <c r="B53" s="324" t="s">
        <v>140</v>
      </c>
      <c r="C53" s="168">
        <v>148</v>
      </c>
      <c r="D53" s="163">
        <v>166</v>
      </c>
      <c r="E53" s="226">
        <v>148</v>
      </c>
      <c r="F53" s="163">
        <v>166</v>
      </c>
    </row>
    <row r="54" spans="1:6" hidden="1" x14ac:dyDescent="0.25">
      <c r="A54" s="158" t="s">
        <v>214</v>
      </c>
      <c r="B54" s="324" t="s">
        <v>215</v>
      </c>
      <c r="C54" s="168" t="s">
        <v>211</v>
      </c>
      <c r="D54" s="163" t="s">
        <v>211</v>
      </c>
      <c r="E54" s="168" t="s">
        <v>211</v>
      </c>
      <c r="F54" s="163" t="s">
        <v>211</v>
      </c>
    </row>
    <row r="55" spans="1:6" hidden="1" x14ac:dyDescent="0.25">
      <c r="A55" s="158" t="s">
        <v>216</v>
      </c>
      <c r="B55" s="324" t="s">
        <v>217</v>
      </c>
      <c r="C55" s="168" t="s">
        <v>211</v>
      </c>
      <c r="D55" s="163" t="s">
        <v>211</v>
      </c>
      <c r="E55" s="168" t="s">
        <v>211</v>
      </c>
      <c r="F55" s="163" t="s">
        <v>211</v>
      </c>
    </row>
    <row r="56" spans="1:6" hidden="1" x14ac:dyDescent="0.25">
      <c r="A56" s="158" t="s">
        <v>218</v>
      </c>
      <c r="B56" s="324" t="s">
        <v>316</v>
      </c>
      <c r="C56" s="168">
        <v>12.2</v>
      </c>
      <c r="D56" s="163">
        <f>+C56</f>
        <v>12.2</v>
      </c>
      <c r="E56" s="168">
        <f>+D56</f>
        <v>12.2</v>
      </c>
      <c r="F56" s="163">
        <f>+C56</f>
        <v>12.2</v>
      </c>
    </row>
    <row r="57" spans="1:6" hidden="1" x14ac:dyDescent="0.25">
      <c r="A57" s="158"/>
      <c r="B57" s="324" t="s">
        <v>220</v>
      </c>
      <c r="C57" s="160">
        <v>71.510000000000005</v>
      </c>
      <c r="D57" s="161">
        <f>+C57</f>
        <v>71.510000000000005</v>
      </c>
      <c r="E57" s="160">
        <f>+C57</f>
        <v>71.510000000000005</v>
      </c>
      <c r="F57" s="161">
        <f>+D57</f>
        <v>71.510000000000005</v>
      </c>
    </row>
    <row r="58" spans="1:6" hidden="1" x14ac:dyDescent="0.25">
      <c r="A58" s="165" t="s">
        <v>221</v>
      </c>
      <c r="B58" s="326" t="s">
        <v>222</v>
      </c>
      <c r="C58" s="166" t="e">
        <f>SUM(C50:C57)</f>
        <v>#REF!</v>
      </c>
      <c r="D58" s="167" t="e">
        <f t="shared" ref="D58:F58" si="4">SUM(D50:D57)</f>
        <v>#REF!</v>
      </c>
      <c r="E58" s="166" t="e">
        <f t="shared" si="4"/>
        <v>#REF!</v>
      </c>
      <c r="F58" s="167" t="e">
        <f t="shared" si="4"/>
        <v>#REF!</v>
      </c>
    </row>
    <row r="59" spans="1:6" hidden="1" x14ac:dyDescent="0.25">
      <c r="A59" s="158" t="s">
        <v>223</v>
      </c>
      <c r="B59" s="324" t="s">
        <v>290</v>
      </c>
      <c r="C59" s="160" t="s">
        <v>255</v>
      </c>
      <c r="D59" s="161" t="s">
        <v>255</v>
      </c>
      <c r="E59" s="160" t="s">
        <v>255</v>
      </c>
      <c r="F59" s="161" t="s">
        <v>255</v>
      </c>
    </row>
    <row r="60" spans="1:6" hidden="1" x14ac:dyDescent="0.25">
      <c r="A60" s="158" t="s">
        <v>227</v>
      </c>
      <c r="B60" s="324" t="s">
        <v>145</v>
      </c>
      <c r="C60" s="160" t="s">
        <v>257</v>
      </c>
      <c r="D60" s="161" t="s">
        <v>257</v>
      </c>
      <c r="E60" s="160" t="s">
        <v>257</v>
      </c>
      <c r="F60" s="161" t="s">
        <v>257</v>
      </c>
    </row>
    <row r="61" spans="1:6" hidden="1" x14ac:dyDescent="0.25">
      <c r="A61" s="165" t="s">
        <v>229</v>
      </c>
      <c r="B61" s="326" t="s">
        <v>230</v>
      </c>
      <c r="C61" s="166">
        <v>5316.4418400000004</v>
      </c>
      <c r="D61" s="167">
        <v>5474.7219600000008</v>
      </c>
      <c r="E61" s="166">
        <v>6314.9703037999998</v>
      </c>
      <c r="F61" s="167">
        <v>6956.0162907800004</v>
      </c>
    </row>
    <row r="62" spans="1:6" hidden="1" x14ac:dyDescent="0.25">
      <c r="A62" s="158" t="s">
        <v>231</v>
      </c>
      <c r="B62" s="324" t="s">
        <v>176</v>
      </c>
      <c r="C62" s="160" t="s">
        <v>255</v>
      </c>
      <c r="D62" s="161" t="s">
        <v>255</v>
      </c>
      <c r="E62" s="160" t="s">
        <v>255</v>
      </c>
      <c r="F62" s="161" t="s">
        <v>255</v>
      </c>
    </row>
    <row r="63" spans="1:6" hidden="1" x14ac:dyDescent="0.25">
      <c r="A63" s="158" t="s">
        <v>232</v>
      </c>
      <c r="B63" s="324" t="s">
        <v>233</v>
      </c>
      <c r="C63" s="198" t="s">
        <v>259</v>
      </c>
      <c r="D63" s="161" t="s">
        <v>234</v>
      </c>
      <c r="E63" s="160" t="s">
        <v>259</v>
      </c>
      <c r="F63" s="163" t="s">
        <v>234</v>
      </c>
    </row>
    <row r="64" spans="1:6" hidden="1" x14ac:dyDescent="0.25">
      <c r="A64" s="158" t="s">
        <v>235</v>
      </c>
      <c r="B64" s="324" t="s">
        <v>317</v>
      </c>
      <c r="C64" s="198" t="s">
        <v>261</v>
      </c>
      <c r="D64" s="163" t="s">
        <v>261</v>
      </c>
      <c r="E64" s="198" t="s">
        <v>261</v>
      </c>
      <c r="F64" s="163" t="s">
        <v>261</v>
      </c>
    </row>
    <row r="65" spans="1:18" ht="15.75" hidden="1" thickBot="1" x14ac:dyDescent="0.3">
      <c r="A65" s="169" t="s">
        <v>237</v>
      </c>
      <c r="B65" s="327" t="s">
        <v>238</v>
      </c>
      <c r="C65" s="199"/>
      <c r="D65" s="199"/>
      <c r="E65" s="199"/>
      <c r="F65" s="172"/>
    </row>
    <row r="66" spans="1:18" hidden="1" x14ac:dyDescent="0.25">
      <c r="A66" s="174"/>
      <c r="B66" s="328"/>
      <c r="C66" s="328"/>
      <c r="D66" s="329"/>
      <c r="E66" s="329"/>
      <c r="F66" s="329"/>
      <c r="G66" s="329"/>
      <c r="H66" s="330"/>
      <c r="I66" s="330"/>
      <c r="J66" s="330"/>
      <c r="K66" s="330"/>
      <c r="L66" s="330"/>
      <c r="M66" s="330"/>
      <c r="N66" s="330"/>
      <c r="O66" s="330"/>
      <c r="P66" s="330"/>
      <c r="Q66" s="287"/>
      <c r="R66" s="287"/>
    </row>
    <row r="67" spans="1:18" hidden="1" x14ac:dyDescent="0.25">
      <c r="A67" s="174"/>
      <c r="B67" s="292" t="s">
        <v>251</v>
      </c>
      <c r="C67" s="175"/>
      <c r="D67" s="176"/>
      <c r="E67" s="176"/>
      <c r="F67" s="176"/>
      <c r="G67" s="176"/>
      <c r="H67" s="176"/>
      <c r="I67" s="176"/>
      <c r="J67" s="288"/>
      <c r="K67" s="288"/>
      <c r="L67" s="288"/>
      <c r="M67" s="288"/>
      <c r="N67" s="288"/>
      <c r="O67" s="288"/>
      <c r="P67" s="288"/>
      <c r="Q67" s="287"/>
      <c r="R67" s="287"/>
    </row>
    <row r="68" spans="1:18" hidden="1" x14ac:dyDescent="0.25">
      <c r="A68" s="174"/>
      <c r="B68" s="175"/>
      <c r="C68" s="175"/>
      <c r="D68" s="176"/>
      <c r="E68" s="176"/>
      <c r="F68" s="176"/>
      <c r="G68" s="176"/>
      <c r="H68" s="176"/>
      <c r="I68" s="176"/>
      <c r="J68" s="288"/>
      <c r="K68" s="288"/>
      <c r="L68" s="288"/>
      <c r="M68" s="288"/>
      <c r="N68" s="288"/>
      <c r="O68" s="288"/>
      <c r="P68" s="288"/>
      <c r="Q68" s="287"/>
      <c r="R68" s="287"/>
    </row>
    <row r="69" spans="1:18" hidden="1" x14ac:dyDescent="0.25">
      <c r="A69" s="177" t="s">
        <v>213</v>
      </c>
      <c r="B69" s="606" t="s">
        <v>286</v>
      </c>
      <c r="C69" s="606"/>
      <c r="D69" s="606"/>
      <c r="E69" s="606"/>
      <c r="F69" s="606"/>
      <c r="G69" s="606"/>
      <c r="H69" s="606"/>
      <c r="I69" s="176"/>
      <c r="J69" s="288"/>
      <c r="K69" s="288"/>
      <c r="L69" s="288"/>
      <c r="M69" s="288"/>
      <c r="N69" s="288"/>
      <c r="O69" s="288"/>
      <c r="P69" s="288"/>
      <c r="Q69" s="287"/>
      <c r="R69" s="287"/>
    </row>
    <row r="70" spans="1:18" hidden="1" x14ac:dyDescent="0.25">
      <c r="A70" s="177" t="s">
        <v>139</v>
      </c>
      <c r="B70" s="571" t="s">
        <v>267</v>
      </c>
      <c r="C70" s="571"/>
      <c r="D70" s="571"/>
      <c r="E70" s="571"/>
      <c r="F70" s="571"/>
      <c r="G70" s="571"/>
      <c r="H70" s="571"/>
      <c r="I70" s="176"/>
      <c r="J70" s="288"/>
      <c r="K70" s="288"/>
      <c r="L70" s="288"/>
      <c r="M70" s="288"/>
      <c r="N70" s="288"/>
      <c r="O70" s="288"/>
      <c r="P70" s="288"/>
      <c r="Q70" s="287"/>
      <c r="R70" s="287"/>
    </row>
    <row r="71" spans="1:18" hidden="1" x14ac:dyDescent="0.25">
      <c r="A71" s="177"/>
      <c r="B71" s="304"/>
      <c r="C71" s="304"/>
      <c r="D71" s="304"/>
      <c r="E71" s="304"/>
      <c r="F71" s="304"/>
      <c r="G71" s="304"/>
      <c r="H71" s="304"/>
      <c r="I71" s="176"/>
      <c r="J71" s="288"/>
      <c r="K71" s="288"/>
      <c r="L71" s="288"/>
      <c r="M71" s="288"/>
      <c r="N71" s="288"/>
      <c r="O71" s="288"/>
      <c r="P71" s="288"/>
      <c r="Q71" s="287"/>
      <c r="R71" s="287"/>
    </row>
    <row r="72" spans="1:18" hidden="1" x14ac:dyDescent="0.25">
      <c r="A72" s="177"/>
      <c r="B72" s="200" t="s">
        <v>174</v>
      </c>
      <c r="C72" s="200"/>
      <c r="D72" s="232"/>
      <c r="E72" s="232"/>
      <c r="F72" s="232"/>
      <c r="G72" s="232"/>
      <c r="H72" s="232"/>
      <c r="I72" s="232"/>
      <c r="J72" s="288"/>
      <c r="K72" s="288"/>
      <c r="L72" s="288"/>
      <c r="M72" s="288"/>
      <c r="N72" s="288"/>
      <c r="O72" s="288"/>
      <c r="P72" s="288"/>
      <c r="Q72" s="287"/>
      <c r="R72" s="287"/>
    </row>
    <row r="73" spans="1:18" hidden="1" x14ac:dyDescent="0.25">
      <c r="A73" s="201" t="s">
        <v>104</v>
      </c>
      <c r="B73" s="569" t="s">
        <v>252</v>
      </c>
      <c r="C73" s="569"/>
      <c r="D73" s="569"/>
      <c r="E73" s="569"/>
      <c r="F73" s="569"/>
      <c r="G73" s="569"/>
      <c r="H73" s="569"/>
      <c r="I73" s="287"/>
      <c r="J73" s="288"/>
      <c r="K73" s="288"/>
      <c r="L73" s="288"/>
      <c r="M73" s="288"/>
      <c r="N73" s="288"/>
      <c r="O73" s="288"/>
      <c r="P73" s="288"/>
      <c r="Q73" s="287"/>
      <c r="R73" s="287"/>
    </row>
    <row r="74" spans="1:18" hidden="1" x14ac:dyDescent="0.25">
      <c r="A74" s="201" t="s">
        <v>253</v>
      </c>
      <c r="B74" s="569" t="s">
        <v>287</v>
      </c>
      <c r="C74" s="569"/>
      <c r="D74" s="569"/>
      <c r="E74" s="569"/>
      <c r="F74" s="569"/>
      <c r="G74" s="569"/>
      <c r="H74" s="569"/>
      <c r="I74" s="569"/>
      <c r="J74" s="288"/>
      <c r="K74" s="288"/>
      <c r="L74" s="288"/>
      <c r="M74" s="288"/>
      <c r="N74" s="288"/>
      <c r="O74" s="288"/>
      <c r="P74" s="288"/>
      <c r="Q74" s="287"/>
      <c r="R74" s="287"/>
    </row>
    <row r="75" spans="1:18" hidden="1" x14ac:dyDescent="0.25">
      <c r="A75" s="201" t="s">
        <v>255</v>
      </c>
      <c r="B75" s="569" t="s">
        <v>298</v>
      </c>
      <c r="C75" s="569"/>
      <c r="D75" s="569"/>
      <c r="E75" s="569"/>
      <c r="F75" s="569"/>
      <c r="G75" s="569"/>
      <c r="H75" s="569"/>
      <c r="I75" s="569"/>
      <c r="J75" s="288"/>
      <c r="K75" s="288"/>
      <c r="L75" s="288"/>
      <c r="M75" s="288"/>
      <c r="N75" s="288"/>
      <c r="O75" s="288"/>
      <c r="P75" s="288"/>
      <c r="Q75" s="287"/>
      <c r="R75" s="287"/>
    </row>
    <row r="76" spans="1:18" hidden="1" x14ac:dyDescent="0.25">
      <c r="A76" s="201" t="s">
        <v>257</v>
      </c>
      <c r="B76" s="569" t="s">
        <v>292</v>
      </c>
      <c r="C76" s="569"/>
      <c r="D76" s="569"/>
      <c r="E76" s="569"/>
      <c r="F76" s="569"/>
      <c r="G76" s="569"/>
      <c r="H76" s="569"/>
      <c r="I76" s="569"/>
      <c r="J76" s="288"/>
      <c r="K76" s="288"/>
      <c r="L76" s="288"/>
      <c r="M76" s="288"/>
      <c r="N76" s="288"/>
      <c r="O76" s="288"/>
      <c r="P76" s="288"/>
      <c r="Q76" s="287"/>
      <c r="R76" s="287"/>
    </row>
    <row r="77" spans="1:18" hidden="1" x14ac:dyDescent="0.25">
      <c r="A77" s="201" t="s">
        <v>259</v>
      </c>
      <c r="B77" s="569" t="s">
        <v>262</v>
      </c>
      <c r="C77" s="569"/>
      <c r="D77" s="569"/>
      <c r="E77" s="569"/>
      <c r="F77" s="569"/>
      <c r="G77" s="569"/>
      <c r="H77" s="301"/>
      <c r="I77" s="288"/>
      <c r="J77" s="288"/>
      <c r="K77" s="288"/>
      <c r="L77" s="288"/>
      <c r="M77" s="288"/>
      <c r="N77" s="288"/>
      <c r="O77" s="288"/>
      <c r="P77" s="288"/>
      <c r="Q77" s="287"/>
      <c r="R77" s="287"/>
    </row>
    <row r="78" spans="1:18" hidden="1" x14ac:dyDescent="0.25">
      <c r="A78" s="201" t="s">
        <v>261</v>
      </c>
      <c r="B78" s="569" t="s">
        <v>293</v>
      </c>
      <c r="C78" s="569"/>
      <c r="D78" s="569"/>
      <c r="E78" s="569"/>
      <c r="F78" s="569"/>
      <c r="G78" s="569"/>
      <c r="H78" s="569"/>
      <c r="I78" s="569"/>
      <c r="J78" s="288"/>
      <c r="K78" s="288"/>
      <c r="L78" s="288"/>
      <c r="M78" s="288"/>
      <c r="N78" s="288"/>
      <c r="O78" s="288"/>
      <c r="P78" s="288"/>
      <c r="Q78" s="287"/>
      <c r="R78" s="287"/>
    </row>
    <row r="79" spans="1:18" hidden="1" x14ac:dyDescent="0.25">
      <c r="A79" s="268"/>
      <c r="B79" s="269"/>
      <c r="C79" s="269"/>
      <c r="D79" s="269"/>
      <c r="E79" s="269"/>
      <c r="F79" s="269"/>
      <c r="G79" s="269"/>
      <c r="H79" s="269"/>
      <c r="I79" s="269"/>
      <c r="J79" s="288"/>
      <c r="K79" s="288"/>
      <c r="L79" s="288"/>
      <c r="M79" s="288"/>
      <c r="N79" s="288"/>
      <c r="O79" s="288"/>
      <c r="P79" s="288"/>
      <c r="Q79" s="287"/>
      <c r="R79" s="287"/>
    </row>
    <row r="80" spans="1:18" hidden="1" x14ac:dyDescent="0.25">
      <c r="A80" s="573" t="s">
        <v>163</v>
      </c>
      <c r="B80" s="573"/>
      <c r="C80" s="573"/>
      <c r="D80" s="573"/>
      <c r="E80" s="573"/>
      <c r="F80" s="573"/>
      <c r="G80" s="573"/>
      <c r="H80" s="573"/>
      <c r="J80" s="288"/>
      <c r="K80" s="288"/>
      <c r="L80" s="288"/>
      <c r="M80" s="288"/>
      <c r="N80" s="288"/>
      <c r="O80" s="288"/>
      <c r="P80" s="288"/>
      <c r="Q80" s="287"/>
      <c r="R80" s="287"/>
    </row>
    <row r="81" spans="1:18" hidden="1" x14ac:dyDescent="0.25">
      <c r="A81" s="331"/>
      <c r="B81" s="200"/>
      <c r="C81" s="200"/>
      <c r="D81" s="288"/>
      <c r="E81" s="288"/>
      <c r="F81" s="288"/>
      <c r="G81" s="288"/>
      <c r="H81" s="288"/>
      <c r="I81" s="288"/>
      <c r="J81" s="288"/>
      <c r="K81" s="288"/>
      <c r="L81" s="288"/>
      <c r="M81" s="288"/>
      <c r="N81" s="288"/>
      <c r="O81" s="288"/>
      <c r="P81" s="288"/>
      <c r="Q81" s="287"/>
      <c r="R81" s="287"/>
    </row>
    <row r="82" spans="1:18" hidden="1" x14ac:dyDescent="0.25">
      <c r="A82" s="331"/>
      <c r="B82" s="200"/>
      <c r="C82" s="200"/>
      <c r="D82" s="288"/>
      <c r="E82" s="288"/>
      <c r="F82" s="288"/>
      <c r="G82" s="288"/>
      <c r="H82" s="288"/>
      <c r="I82" s="288"/>
      <c r="J82" s="288"/>
      <c r="K82" s="288"/>
      <c r="L82" s="288"/>
      <c r="M82" s="288"/>
      <c r="N82" s="288"/>
      <c r="O82" s="288"/>
      <c r="P82" s="288"/>
      <c r="Q82" s="287"/>
      <c r="R82" s="287"/>
    </row>
    <row r="83" spans="1:18" hidden="1" x14ac:dyDescent="0.25">
      <c r="A83" s="331"/>
      <c r="B83" s="200"/>
      <c r="C83" s="200"/>
      <c r="D83" s="288"/>
      <c r="E83" s="288"/>
      <c r="F83" s="288"/>
      <c r="G83" s="288"/>
      <c r="H83" s="288"/>
      <c r="I83" s="288"/>
      <c r="J83" s="288"/>
      <c r="K83" s="288"/>
      <c r="L83" s="288"/>
      <c r="M83" s="288"/>
      <c r="N83" s="288"/>
      <c r="O83" s="288"/>
      <c r="P83" s="288"/>
      <c r="Q83" s="287"/>
      <c r="R83" s="287"/>
    </row>
  </sheetData>
  <sheetProtection password="C712" sheet="1" objects="1" scenarios="1"/>
  <mergeCells count="31">
    <mergeCell ref="A47:A49"/>
    <mergeCell ref="B47:B49"/>
    <mergeCell ref="B69:H69"/>
    <mergeCell ref="C45:D46"/>
    <mergeCell ref="E45:F46"/>
    <mergeCell ref="B45:B46"/>
    <mergeCell ref="A44:M44"/>
    <mergeCell ref="B29:H29"/>
    <mergeCell ref="B30:H30"/>
    <mergeCell ref="B31:H31"/>
    <mergeCell ref="B34:H34"/>
    <mergeCell ref="B35:I35"/>
    <mergeCell ref="B36:I36"/>
    <mergeCell ref="B37:I37"/>
    <mergeCell ref="B38:G38"/>
    <mergeCell ref="B39:I39"/>
    <mergeCell ref="A41:H41"/>
    <mergeCell ref="C3:G4"/>
    <mergeCell ref="H3:I4"/>
    <mergeCell ref="A5:A7"/>
    <mergeCell ref="B5:B7"/>
    <mergeCell ref="C5:C6"/>
    <mergeCell ref="G5:G6"/>
    <mergeCell ref="B77:G77"/>
    <mergeCell ref="B78:I78"/>
    <mergeCell ref="A80:H80"/>
    <mergeCell ref="B70:H70"/>
    <mergeCell ref="B73:H73"/>
    <mergeCell ref="B74:I74"/>
    <mergeCell ref="B75:I75"/>
    <mergeCell ref="B76:I7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F15" sqref="F15"/>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16 de Diciembre de 2020; 00:00 horas</v>
      </c>
    </row>
    <row r="2" spans="1:8" ht="15.75" thickBot="1" x14ac:dyDescent="0.3">
      <c r="A2" s="180" t="s">
        <v>202</v>
      </c>
      <c r="B2" s="180"/>
    </row>
    <row r="3" spans="1:8" ht="15.75" customHeight="1" thickTop="1" x14ac:dyDescent="0.25">
      <c r="A3" s="212"/>
      <c r="B3" s="213" t="s">
        <v>318</v>
      </c>
      <c r="C3" s="574" t="s">
        <v>203</v>
      </c>
      <c r="D3" s="575"/>
      <c r="E3" s="575"/>
      <c r="F3" s="576"/>
      <c r="G3" s="580" t="s">
        <v>275</v>
      </c>
      <c r="H3" s="581"/>
    </row>
    <row r="4" spans="1:8" x14ac:dyDescent="0.25">
      <c r="A4" s="155"/>
      <c r="B4" s="214" t="s">
        <v>319</v>
      </c>
      <c r="C4" s="577"/>
      <c r="D4" s="578"/>
      <c r="E4" s="578"/>
      <c r="F4" s="579"/>
      <c r="G4" s="582"/>
      <c r="H4" s="583"/>
    </row>
    <row r="5" spans="1:8" ht="38.25" customHeight="1" x14ac:dyDescent="0.25">
      <c r="A5" s="562" t="s">
        <v>204</v>
      </c>
      <c r="B5" s="564" t="s">
        <v>205</v>
      </c>
      <c r="C5" s="566" t="s">
        <v>266</v>
      </c>
      <c r="D5" s="186" t="s">
        <v>97</v>
      </c>
      <c r="E5" s="186" t="s">
        <v>194</v>
      </c>
      <c r="F5" s="186" t="str">
        <f>+NARIÑO!F5</f>
        <v>Biodiesel B10</v>
      </c>
      <c r="G5" s="186" t="s">
        <v>97</v>
      </c>
      <c r="H5" s="303" t="str">
        <f>+F5</f>
        <v>Biodiesel B10</v>
      </c>
    </row>
    <row r="6" spans="1:8" x14ac:dyDescent="0.25">
      <c r="A6" s="562"/>
      <c r="B6" s="564"/>
      <c r="C6" s="567"/>
      <c r="D6" s="187">
        <v>0.08</v>
      </c>
      <c r="E6" s="205">
        <v>0.02</v>
      </c>
      <c r="F6" s="188">
        <f>+NARIÑO!F6</f>
        <v>0.1</v>
      </c>
      <c r="G6" s="205">
        <v>0.1</v>
      </c>
      <c r="H6" s="188">
        <f>+F6</f>
        <v>0.1</v>
      </c>
    </row>
    <row r="7" spans="1:8" x14ac:dyDescent="0.25">
      <c r="A7" s="563"/>
      <c r="B7" s="565"/>
      <c r="C7" s="156" t="s">
        <v>206</v>
      </c>
      <c r="D7" s="186" t="s">
        <v>206</v>
      </c>
      <c r="E7" s="186" t="s">
        <v>206</v>
      </c>
      <c r="F7" s="186" t="s">
        <v>206</v>
      </c>
      <c r="G7" s="156" t="s">
        <v>206</v>
      </c>
      <c r="H7" s="303" t="s">
        <v>206</v>
      </c>
    </row>
    <row r="8" spans="1:8" x14ac:dyDescent="0.25">
      <c r="A8" s="158" t="s">
        <v>207</v>
      </c>
      <c r="B8" s="164" t="s">
        <v>208</v>
      </c>
      <c r="C8" s="230">
        <f>+'Calculo IP ZDF'!B34</f>
        <v>4005.7364379999999</v>
      </c>
      <c r="D8" s="236">
        <f>+'Calculo IP ZDF'!G34</f>
        <v>4430.1927942000002</v>
      </c>
      <c r="E8" s="238">
        <f>+'Calculo IP ZDF'!F34</f>
        <v>4425.1676373999999</v>
      </c>
      <c r="F8" s="237">
        <f>+'Calculo IP ZDF'!H34</f>
        <v>5221.5626670000001</v>
      </c>
      <c r="G8" s="215">
        <f>+'GAS CTE'!D9</f>
        <v>4474.72</v>
      </c>
      <c r="H8" s="240">
        <f>+BIODIESEL!G9</f>
        <v>5266.59</v>
      </c>
    </row>
    <row r="9" spans="1:8" x14ac:dyDescent="0.25">
      <c r="A9" s="158" t="s">
        <v>209</v>
      </c>
      <c r="B9" s="164" t="s">
        <v>210</v>
      </c>
      <c r="C9" s="216" t="str">
        <f t="shared" ref="C9:C12"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f>+'GAS CTE'!C12</f>
        <v>155</v>
      </c>
      <c r="D11" s="217">
        <f>+'GAS CTE'!D12</f>
        <v>139.5</v>
      </c>
      <c r="E11" s="217">
        <f>+BIODIESEL!E12</f>
        <v>170.52</v>
      </c>
      <c r="F11" s="161">
        <f>+BIODIESEL!G12</f>
        <v>156.6</v>
      </c>
      <c r="G11" s="215">
        <f>+'GAS CTE'!D12</f>
        <v>139.5</v>
      </c>
      <c r="H11" s="237">
        <f>+BIODIESEL!G12</f>
        <v>156.6</v>
      </c>
    </row>
    <row r="12" spans="1:8" x14ac:dyDescent="0.25">
      <c r="A12" s="158" t="s">
        <v>212</v>
      </c>
      <c r="B12" s="164" t="s">
        <v>320</v>
      </c>
      <c r="C12" s="216" t="str">
        <f t="shared" si="0"/>
        <v>(2)</v>
      </c>
      <c r="D12" s="162" t="s">
        <v>240</v>
      </c>
      <c r="E12" s="162" t="s">
        <v>240</v>
      </c>
      <c r="F12" s="161" t="s">
        <v>240</v>
      </c>
      <c r="G12" s="215" t="str">
        <f>+F12</f>
        <v>(2)</v>
      </c>
      <c r="H12" s="240" t="s">
        <v>240</v>
      </c>
    </row>
    <row r="13" spans="1:8" x14ac:dyDescent="0.25">
      <c r="A13" s="158" t="s">
        <v>214</v>
      </c>
      <c r="B13" s="164" t="s">
        <v>215</v>
      </c>
      <c r="C13" s="216">
        <f>+RUBROS!W21</f>
        <v>21.906900579364827</v>
      </c>
      <c r="D13" s="162">
        <f>+C13</f>
        <v>21.906900579364827</v>
      </c>
      <c r="E13" s="162">
        <f>+D13</f>
        <v>21.906900579364827</v>
      </c>
      <c r="F13" s="161">
        <f>+E13</f>
        <v>21.906900579364827</v>
      </c>
      <c r="G13" s="215">
        <f>+C13</f>
        <v>21.906900579364827</v>
      </c>
      <c r="H13" s="240">
        <f>+G13</f>
        <v>21.906900579364827</v>
      </c>
    </row>
    <row r="14" spans="1:8" x14ac:dyDescent="0.25">
      <c r="A14" s="158" t="s">
        <v>216</v>
      </c>
      <c r="B14" s="164" t="s">
        <v>217</v>
      </c>
      <c r="C14" s="216">
        <f>+RUBROS!W57</f>
        <v>104.87942069284702</v>
      </c>
      <c r="D14" s="162">
        <f>+C14</f>
        <v>104.87942069284702</v>
      </c>
      <c r="E14" s="162">
        <f>+C14</f>
        <v>104.87942069284702</v>
      </c>
      <c r="F14" s="161">
        <f>+C14</f>
        <v>104.87942069284702</v>
      </c>
      <c r="G14" s="215">
        <f>+C14</f>
        <v>104.87942069284702</v>
      </c>
      <c r="H14" s="240">
        <f>+G14</f>
        <v>104.87942069284702</v>
      </c>
    </row>
    <row r="15" spans="1:8" x14ac:dyDescent="0.25">
      <c r="A15" s="158" t="s">
        <v>218</v>
      </c>
      <c r="B15" s="235" t="s">
        <v>219</v>
      </c>
      <c r="C15" s="216">
        <f>+RUBROS!AK32</f>
        <v>12.561430159485083</v>
      </c>
      <c r="D15" s="162">
        <f>+C15</f>
        <v>12.561430159485083</v>
      </c>
      <c r="E15" s="218">
        <f>+C15</f>
        <v>12.561430159485083</v>
      </c>
      <c r="F15" s="161">
        <f>+C15</f>
        <v>12.561430159485083</v>
      </c>
      <c r="G15" s="215">
        <f>+C15</f>
        <v>12.561430159485083</v>
      </c>
      <c r="H15" s="240">
        <f>+C15</f>
        <v>12.561430159485083</v>
      </c>
    </row>
    <row r="16" spans="1:8" x14ac:dyDescent="0.25">
      <c r="A16" s="158"/>
      <c r="B16" s="164" t="s">
        <v>220</v>
      </c>
      <c r="C16" s="216">
        <f>+'GAS CTE'!C16</f>
        <v>71.510000000000005</v>
      </c>
      <c r="D16" s="219">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SUM(C8:C16)</f>
        <v>4371.5941894316966</v>
      </c>
      <c r="D17" s="222">
        <f t="shared" ref="D17:H17" si="1">SUM(D8:D16)</f>
        <v>4780.5505456316969</v>
      </c>
      <c r="E17" s="222">
        <f t="shared" si="1"/>
        <v>4806.545388831697</v>
      </c>
      <c r="F17" s="223">
        <f t="shared" si="1"/>
        <v>5589.0204184316972</v>
      </c>
      <c r="G17" s="224">
        <f t="shared" si="1"/>
        <v>5316.7117514316969</v>
      </c>
      <c r="H17" s="243">
        <f t="shared" si="1"/>
        <v>6104.6177514316969</v>
      </c>
    </row>
    <row r="18" spans="1:16" x14ac:dyDescent="0.25">
      <c r="A18" s="158" t="s">
        <v>223</v>
      </c>
      <c r="B18" s="164" t="s">
        <v>224</v>
      </c>
      <c r="C18" s="216" t="s">
        <v>255</v>
      </c>
      <c r="D18" s="225" t="str">
        <f>+C18</f>
        <v>***</v>
      </c>
      <c r="E18" s="225" t="str">
        <f>+C18</f>
        <v>***</v>
      </c>
      <c r="F18" s="161" t="str">
        <f>+C18</f>
        <v>***</v>
      </c>
      <c r="G18" s="218" t="str">
        <f>+H18</f>
        <v>***</v>
      </c>
      <c r="H18" s="244" t="s">
        <v>255</v>
      </c>
    </row>
    <row r="19" spans="1:16" x14ac:dyDescent="0.25">
      <c r="A19" s="158" t="s">
        <v>225</v>
      </c>
      <c r="B19" s="164" t="s">
        <v>226</v>
      </c>
      <c r="C19" s="216" t="str">
        <f>+D19</f>
        <v>**</v>
      </c>
      <c r="D19" s="226" t="s">
        <v>253</v>
      </c>
      <c r="E19" s="226" t="s">
        <v>253</v>
      </c>
      <c r="F19" s="161" t="s">
        <v>253</v>
      </c>
      <c r="G19" s="218" t="str">
        <f>+H19</f>
        <v>**</v>
      </c>
      <c r="H19" s="237" t="s">
        <v>253</v>
      </c>
    </row>
    <row r="20" spans="1:16" x14ac:dyDescent="0.25">
      <c r="A20" s="158" t="s">
        <v>227</v>
      </c>
      <c r="B20" s="164" t="s">
        <v>228</v>
      </c>
      <c r="C20" s="216" t="str">
        <f>+D20</f>
        <v>****</v>
      </c>
      <c r="D20" s="162" t="s">
        <v>257</v>
      </c>
      <c r="E20" s="162" t="str">
        <f>+D20</f>
        <v>****</v>
      </c>
      <c r="F20" s="161" t="str">
        <f>+E20</f>
        <v>****</v>
      </c>
      <c r="G20" s="218" t="str">
        <f>+F20</f>
        <v>****</v>
      </c>
      <c r="H20" s="240" t="str">
        <f>+F20</f>
        <v>****</v>
      </c>
    </row>
    <row r="21" spans="1:16" x14ac:dyDescent="0.25">
      <c r="A21" s="165" t="s">
        <v>229</v>
      </c>
      <c r="B21" s="196" t="s">
        <v>230</v>
      </c>
      <c r="C21" s="221">
        <f t="shared" ref="C21:H21" si="2">+C17</f>
        <v>4371.5941894316966</v>
      </c>
      <c r="D21" s="221">
        <f t="shared" si="2"/>
        <v>4780.5505456316969</v>
      </c>
      <c r="E21" s="221">
        <f t="shared" si="2"/>
        <v>4806.545388831697</v>
      </c>
      <c r="F21" s="239">
        <f t="shared" si="2"/>
        <v>5589.0204184316972</v>
      </c>
      <c r="G21" s="221">
        <f t="shared" si="2"/>
        <v>5316.7117514316969</v>
      </c>
      <c r="H21" s="239">
        <f t="shared" si="2"/>
        <v>6104.6177514316969</v>
      </c>
    </row>
    <row r="22" spans="1:16" x14ac:dyDescent="0.25">
      <c r="A22" s="158" t="s">
        <v>231</v>
      </c>
      <c r="B22" s="164" t="s">
        <v>176</v>
      </c>
      <c r="C22" s="216" t="s">
        <v>255</v>
      </c>
      <c r="D22" s="162" t="str">
        <f>+C22</f>
        <v>***</v>
      </c>
      <c r="E22" s="162" t="str">
        <f>+D22</f>
        <v>***</v>
      </c>
      <c r="F22" s="161" t="str">
        <f>+E22</f>
        <v>***</v>
      </c>
      <c r="G22" s="218" t="str">
        <f>+H22</f>
        <v>***</v>
      </c>
      <c r="H22" s="240" t="s">
        <v>255</v>
      </c>
    </row>
    <row r="23" spans="1:16" x14ac:dyDescent="0.25">
      <c r="A23" s="158" t="s">
        <v>232</v>
      </c>
      <c r="B23" s="159" t="s">
        <v>233</v>
      </c>
      <c r="C23" s="216" t="str">
        <f>+D23</f>
        <v>*****</v>
      </c>
      <c r="D23" s="162" t="s">
        <v>259</v>
      </c>
      <c r="E23" s="162" t="s">
        <v>279</v>
      </c>
      <c r="F23" s="161" t="s">
        <v>234</v>
      </c>
      <c r="G23" s="218" t="str">
        <f>+D23</f>
        <v>*****</v>
      </c>
      <c r="H23" s="240" t="s">
        <v>280</v>
      </c>
    </row>
    <row r="24" spans="1:16" x14ac:dyDescent="0.25">
      <c r="A24" s="158" t="s">
        <v>235</v>
      </c>
      <c r="B24" s="164" t="s">
        <v>236</v>
      </c>
      <c r="C24" s="216" t="str">
        <f>+D24</f>
        <v>******</v>
      </c>
      <c r="D24" s="226"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1" t="str">
        <f>+NARIÑO!B29</f>
        <v>De acuerdo con lo establecido en la Resolución MME 91349 de 2014</v>
      </c>
      <c r="C29" s="571"/>
      <c r="D29" s="571"/>
      <c r="E29" s="571"/>
      <c r="F29" s="571"/>
      <c r="G29" s="571"/>
      <c r="H29" s="571"/>
      <c r="I29" s="571"/>
      <c r="J29" s="571"/>
      <c r="K29" s="233"/>
      <c r="L29" s="233"/>
      <c r="M29" s="233"/>
      <c r="N29" s="233"/>
      <c r="O29" s="233"/>
      <c r="P29" s="233"/>
    </row>
    <row r="30" spans="1:16" ht="26.25" customHeight="1" x14ac:dyDescent="0.25">
      <c r="A30" s="177" t="s">
        <v>240</v>
      </c>
      <c r="B30" s="568" t="s">
        <v>297</v>
      </c>
      <c r="C30" s="568"/>
      <c r="D30" s="568"/>
      <c r="E30" s="568"/>
      <c r="F30" s="568"/>
      <c r="G30" s="568"/>
      <c r="H30" s="568"/>
      <c r="I30" s="568"/>
      <c r="J30" s="568"/>
      <c r="K30" s="211"/>
      <c r="L30" s="211"/>
      <c r="M30" s="211"/>
      <c r="N30" s="211"/>
      <c r="O30" s="211"/>
      <c r="P30" s="211"/>
    </row>
    <row r="31" spans="1:16" ht="57" customHeight="1" x14ac:dyDescent="0.25">
      <c r="A31" s="177" t="s">
        <v>139</v>
      </c>
      <c r="B31" s="571" t="s">
        <v>365</v>
      </c>
      <c r="C31" s="571"/>
      <c r="D31" s="571"/>
      <c r="E31" s="571"/>
      <c r="F31" s="571"/>
      <c r="G31" s="571"/>
      <c r="H31" s="571"/>
      <c r="I31" s="571"/>
      <c r="J31" s="571"/>
      <c r="K31" s="211"/>
      <c r="L31" s="211"/>
      <c r="M31" s="211"/>
      <c r="N31" s="211"/>
      <c r="O31" s="211"/>
      <c r="P31" s="211"/>
    </row>
    <row r="32" spans="1:16" x14ac:dyDescent="0.25">
      <c r="A32" s="177"/>
      <c r="B32" s="200"/>
      <c r="C32" s="232"/>
      <c r="D32" s="232"/>
      <c r="E32" s="232"/>
      <c r="F32" s="232"/>
      <c r="G32" s="211"/>
      <c r="H32" s="211"/>
      <c r="I32" s="211"/>
      <c r="J32" s="211"/>
      <c r="K32" s="211"/>
      <c r="L32" s="211"/>
      <c r="M32" s="211"/>
      <c r="N32" s="211"/>
      <c r="O32" s="211"/>
      <c r="P32" s="211"/>
    </row>
    <row r="33" spans="1:16" ht="15" customHeight="1" x14ac:dyDescent="0.25">
      <c r="A33" s="201" t="s">
        <v>104</v>
      </c>
      <c r="B33" s="569" t="s">
        <v>252</v>
      </c>
      <c r="C33" s="569"/>
      <c r="D33" s="569"/>
      <c r="E33" s="569"/>
      <c r="F33" s="569"/>
      <c r="G33" s="569"/>
      <c r="H33" s="569"/>
      <c r="I33" s="569"/>
      <c r="J33" s="569"/>
      <c r="K33" s="211"/>
      <c r="L33" s="211"/>
      <c r="M33" s="211"/>
      <c r="N33" s="211"/>
      <c r="O33" s="211"/>
      <c r="P33" s="211"/>
    </row>
    <row r="34" spans="1:16" ht="15" customHeight="1" x14ac:dyDescent="0.25">
      <c r="A34" s="201" t="s">
        <v>253</v>
      </c>
      <c r="B34" s="571" t="s">
        <v>283</v>
      </c>
      <c r="C34" s="571"/>
      <c r="D34" s="571"/>
      <c r="E34" s="571"/>
      <c r="F34" s="571"/>
      <c r="G34" s="571"/>
      <c r="H34" s="571"/>
      <c r="I34" s="571"/>
      <c r="J34" s="571"/>
      <c r="K34" s="211"/>
      <c r="L34" s="211"/>
      <c r="M34" s="211"/>
      <c r="N34" s="211"/>
      <c r="O34" s="211"/>
      <c r="P34" s="211"/>
    </row>
    <row r="35" spans="1:16" ht="15" customHeight="1" x14ac:dyDescent="0.25">
      <c r="A35" s="177" t="s">
        <v>255</v>
      </c>
      <c r="B35" s="571" t="s">
        <v>256</v>
      </c>
      <c r="C35" s="571"/>
      <c r="D35" s="571"/>
      <c r="E35" s="571"/>
      <c r="F35" s="571"/>
      <c r="G35" s="571"/>
      <c r="H35" s="571"/>
      <c r="I35" s="177"/>
      <c r="J35" s="569"/>
      <c r="K35" s="569"/>
      <c r="L35" s="569"/>
      <c r="M35" s="569"/>
      <c r="N35" s="569"/>
      <c r="O35" s="569"/>
      <c r="P35" s="569"/>
    </row>
    <row r="36" spans="1:16" ht="15" customHeight="1" x14ac:dyDescent="0.25">
      <c r="A36" s="177" t="s">
        <v>257</v>
      </c>
      <c r="B36" s="569" t="s">
        <v>260</v>
      </c>
      <c r="C36" s="569"/>
      <c r="D36" s="569"/>
      <c r="E36" s="569"/>
      <c r="F36" s="569"/>
      <c r="G36" s="569"/>
      <c r="H36" s="569"/>
      <c r="I36" s="177"/>
      <c r="J36" s="301"/>
      <c r="K36" s="301"/>
      <c r="L36" s="301"/>
      <c r="M36" s="301"/>
      <c r="N36" s="301"/>
      <c r="O36" s="301"/>
      <c r="P36" s="301"/>
    </row>
    <row r="37" spans="1:16" x14ac:dyDescent="0.25">
      <c r="A37" s="201" t="s">
        <v>259</v>
      </c>
      <c r="B37" s="571" t="s">
        <v>262</v>
      </c>
      <c r="C37" s="571"/>
      <c r="D37" s="571"/>
      <c r="E37" s="571"/>
      <c r="F37" s="571"/>
      <c r="G37" s="571"/>
      <c r="H37" s="571"/>
      <c r="I37" s="571"/>
      <c r="J37" s="571"/>
      <c r="K37" s="211"/>
      <c r="L37" s="211"/>
      <c r="M37" s="211"/>
      <c r="N37" s="211"/>
      <c r="O37" s="211"/>
      <c r="P37" s="211"/>
    </row>
    <row r="38" spans="1:16" x14ac:dyDescent="0.25">
      <c r="A38" s="201" t="s">
        <v>261</v>
      </c>
      <c r="B38" s="571" t="s">
        <v>321</v>
      </c>
      <c r="C38" s="571"/>
      <c r="D38" s="571"/>
      <c r="E38" s="571"/>
      <c r="F38" s="571"/>
      <c r="G38" s="571"/>
      <c r="H38" s="571"/>
      <c r="I38" s="571"/>
      <c r="J38" s="571"/>
      <c r="K38" s="211"/>
      <c r="L38" s="211"/>
      <c r="M38" s="211"/>
      <c r="N38" s="211"/>
      <c r="O38" s="211"/>
      <c r="P38" s="211"/>
    </row>
    <row r="40" spans="1:16" ht="87.75" customHeight="1" x14ac:dyDescent="0.25">
      <c r="A40" s="573" t="s">
        <v>163</v>
      </c>
      <c r="B40" s="573"/>
      <c r="C40" s="573"/>
      <c r="D40" s="573"/>
      <c r="E40" s="573"/>
      <c r="F40" s="573"/>
      <c r="G40" s="573"/>
      <c r="H40" s="573"/>
      <c r="I40" s="573"/>
      <c r="J40" s="573"/>
    </row>
  </sheetData>
  <sheetProtection password="C712" sheet="1" objects="1" scenarios="1"/>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
        <v>452</v>
      </c>
    </row>
    <row r="2" spans="1:8" ht="15.75" thickBot="1" x14ac:dyDescent="0.3">
      <c r="A2" s="180" t="s">
        <v>202</v>
      </c>
      <c r="B2" s="180"/>
    </row>
    <row r="3" spans="1:8" ht="15.75" customHeight="1" thickTop="1" x14ac:dyDescent="0.25">
      <c r="A3" s="212"/>
      <c r="B3" s="213" t="s">
        <v>353</v>
      </c>
      <c r="C3" s="574" t="s">
        <v>203</v>
      </c>
      <c r="D3" s="575"/>
      <c r="E3" s="575"/>
      <c r="F3" s="576"/>
      <c r="G3" s="580" t="s">
        <v>275</v>
      </c>
      <c r="H3" s="581"/>
    </row>
    <row r="4" spans="1:8" x14ac:dyDescent="0.25">
      <c r="A4" s="155"/>
      <c r="B4" s="314" t="s">
        <v>354</v>
      </c>
      <c r="C4" s="577"/>
      <c r="D4" s="578"/>
      <c r="E4" s="578"/>
      <c r="F4" s="579"/>
      <c r="G4" s="582"/>
      <c r="H4" s="583"/>
    </row>
    <row r="5" spans="1:8" ht="38.25" customHeight="1" x14ac:dyDescent="0.25">
      <c r="A5" s="562" t="s">
        <v>204</v>
      </c>
      <c r="B5" s="564" t="s">
        <v>205</v>
      </c>
      <c r="C5" s="566" t="s">
        <v>266</v>
      </c>
      <c r="D5" s="460" t="s">
        <v>97</v>
      </c>
      <c r="E5" s="460" t="s">
        <v>194</v>
      </c>
      <c r="F5" s="460" t="s">
        <v>444</v>
      </c>
      <c r="G5" s="460" t="s">
        <v>97</v>
      </c>
      <c r="H5" s="458" t="s">
        <v>444</v>
      </c>
    </row>
    <row r="6" spans="1:8" x14ac:dyDescent="0.25">
      <c r="A6" s="562"/>
      <c r="B6" s="564"/>
      <c r="C6" s="567"/>
      <c r="D6" s="187">
        <v>0.08</v>
      </c>
      <c r="E6" s="205">
        <v>0.02</v>
      </c>
      <c r="F6" s="188">
        <v>0.1</v>
      </c>
      <c r="G6" s="205">
        <v>0.1</v>
      </c>
      <c r="H6" s="188">
        <v>0.1</v>
      </c>
    </row>
    <row r="7" spans="1:8" x14ac:dyDescent="0.25">
      <c r="A7" s="563"/>
      <c r="B7" s="565"/>
      <c r="C7" s="459" t="s">
        <v>206</v>
      </c>
      <c r="D7" s="460" t="s">
        <v>206</v>
      </c>
      <c r="E7" s="460" t="s">
        <v>206</v>
      </c>
      <c r="F7" s="460" t="s">
        <v>206</v>
      </c>
      <c r="G7" s="459" t="s">
        <v>206</v>
      </c>
      <c r="H7" s="458" t="s">
        <v>206</v>
      </c>
    </row>
    <row r="8" spans="1:8" x14ac:dyDescent="0.25">
      <c r="A8" s="158" t="s">
        <v>207</v>
      </c>
      <c r="B8" s="164" t="s">
        <v>208</v>
      </c>
      <c r="C8" s="230">
        <v>2893.3124000000003</v>
      </c>
      <c r="D8" s="236">
        <v>3432.6111600000004</v>
      </c>
      <c r="E8" s="238">
        <v>3418.4729939999997</v>
      </c>
      <c r="F8" s="237">
        <v>4076.8677699999998</v>
      </c>
      <c r="G8" s="215">
        <v>4453.83</v>
      </c>
      <c r="H8" s="240">
        <v>5255.08</v>
      </c>
    </row>
    <row r="9" spans="1:8" x14ac:dyDescent="0.25">
      <c r="A9" s="158" t="s">
        <v>209</v>
      </c>
      <c r="B9" s="164" t="s">
        <v>210</v>
      </c>
      <c r="C9" s="216" t="s">
        <v>211</v>
      </c>
      <c r="D9" s="190" t="s">
        <v>211</v>
      </c>
      <c r="E9" s="217" t="s">
        <v>211</v>
      </c>
      <c r="F9" s="161" t="s">
        <v>211</v>
      </c>
      <c r="G9" s="215">
        <v>491.63400000000001</v>
      </c>
      <c r="H9" s="241">
        <v>470.57</v>
      </c>
    </row>
    <row r="10" spans="1:8" x14ac:dyDescent="0.25">
      <c r="A10" s="158"/>
      <c r="B10" s="164" t="s">
        <v>138</v>
      </c>
      <c r="C10" s="216" t="s">
        <v>211</v>
      </c>
      <c r="D10" s="190" t="s">
        <v>211</v>
      </c>
      <c r="E10" s="217" t="s">
        <v>211</v>
      </c>
      <c r="F10" s="161" t="s">
        <v>211</v>
      </c>
      <c r="G10" s="231" t="s">
        <v>139</v>
      </c>
      <c r="H10" s="241" t="s">
        <v>139</v>
      </c>
    </row>
    <row r="11" spans="1:8" x14ac:dyDescent="0.25">
      <c r="A11" s="158"/>
      <c r="B11" s="164" t="s">
        <v>140</v>
      </c>
      <c r="C11" s="216" t="s">
        <v>241</v>
      </c>
      <c r="D11" s="190" t="s">
        <v>241</v>
      </c>
      <c r="E11" s="217" t="s">
        <v>241</v>
      </c>
      <c r="F11" s="161" t="s">
        <v>241</v>
      </c>
      <c r="G11" s="215" t="s">
        <v>241</v>
      </c>
      <c r="H11" s="237" t="s">
        <v>241</v>
      </c>
    </row>
    <row r="12" spans="1:8" ht="25.5" x14ac:dyDescent="0.25">
      <c r="A12" s="158" t="s">
        <v>212</v>
      </c>
      <c r="B12" s="164" t="s">
        <v>296</v>
      </c>
      <c r="C12" s="216" t="s">
        <v>240</v>
      </c>
      <c r="D12" s="189" t="s">
        <v>240</v>
      </c>
      <c r="E12" s="162" t="s">
        <v>240</v>
      </c>
      <c r="F12" s="161" t="s">
        <v>240</v>
      </c>
      <c r="G12" s="215" t="s">
        <v>240</v>
      </c>
      <c r="H12" s="240" t="s">
        <v>240</v>
      </c>
    </row>
    <row r="13" spans="1:8" x14ac:dyDescent="0.25">
      <c r="A13" s="158" t="s">
        <v>277</v>
      </c>
      <c r="B13" s="164" t="s">
        <v>278</v>
      </c>
      <c r="C13" s="216" t="s">
        <v>279</v>
      </c>
      <c r="D13" s="189" t="s">
        <v>279</v>
      </c>
      <c r="E13" s="217" t="s">
        <v>241</v>
      </c>
      <c r="F13" s="163" t="s">
        <v>241</v>
      </c>
      <c r="G13" s="215" t="s">
        <v>279</v>
      </c>
      <c r="H13" s="237" t="s">
        <v>241</v>
      </c>
    </row>
    <row r="14" spans="1:8" x14ac:dyDescent="0.25">
      <c r="A14" s="158" t="s">
        <v>214</v>
      </c>
      <c r="B14" s="164" t="s">
        <v>215</v>
      </c>
      <c r="C14" s="216">
        <v>21.906900579364827</v>
      </c>
      <c r="D14" s="189">
        <v>21.906900579364827</v>
      </c>
      <c r="E14" s="162">
        <v>21.906900579364827</v>
      </c>
      <c r="F14" s="161">
        <v>21.906900579364827</v>
      </c>
      <c r="G14" s="215">
        <v>21.906900579364827</v>
      </c>
      <c r="H14" s="240">
        <v>21.906900579364827</v>
      </c>
    </row>
    <row r="15" spans="1:8" x14ac:dyDescent="0.25">
      <c r="A15" s="158" t="s">
        <v>218</v>
      </c>
      <c r="B15" s="235" t="s">
        <v>219</v>
      </c>
      <c r="C15" s="216">
        <v>12.561430159485083</v>
      </c>
      <c r="D15" s="189">
        <v>12.561430159485083</v>
      </c>
      <c r="E15" s="218">
        <v>12.561430159485083</v>
      </c>
      <c r="F15" s="161">
        <v>12.561430159485083</v>
      </c>
      <c r="G15" s="215">
        <v>12.561430159485083</v>
      </c>
      <c r="H15" s="240">
        <v>12.561430159485083</v>
      </c>
    </row>
    <row r="16" spans="1:8" x14ac:dyDescent="0.25">
      <c r="A16" s="158"/>
      <c r="B16" s="164" t="s">
        <v>220</v>
      </c>
      <c r="C16" s="216">
        <v>71.510000000000005</v>
      </c>
      <c r="D16" s="363">
        <v>71.510000000000005</v>
      </c>
      <c r="E16" s="220">
        <v>71.510000000000005</v>
      </c>
      <c r="F16" s="161">
        <v>71.510000000000005</v>
      </c>
      <c r="G16" s="215">
        <v>71.510000000000005</v>
      </c>
      <c r="H16" s="242">
        <v>71.510000000000005</v>
      </c>
    </row>
    <row r="17" spans="1:16" x14ac:dyDescent="0.25">
      <c r="A17" s="165" t="s">
        <v>221</v>
      </c>
      <c r="B17" s="196" t="s">
        <v>222</v>
      </c>
      <c r="C17" s="221">
        <v>2999.2907307388505</v>
      </c>
      <c r="D17" s="364">
        <v>3538.5894907388506</v>
      </c>
      <c r="E17" s="222">
        <v>3524.45132473885</v>
      </c>
      <c r="F17" s="223">
        <v>4182.8461007388496</v>
      </c>
      <c r="G17" s="224">
        <v>5051.4423307388497</v>
      </c>
      <c r="H17" s="243">
        <v>5831.6283307388494</v>
      </c>
    </row>
    <row r="18" spans="1:16" x14ac:dyDescent="0.25">
      <c r="A18" s="158" t="s">
        <v>223</v>
      </c>
      <c r="B18" s="164" t="s">
        <v>224</v>
      </c>
      <c r="C18" s="216" t="s">
        <v>255</v>
      </c>
      <c r="D18" s="365" t="s">
        <v>255</v>
      </c>
      <c r="E18" s="225" t="s">
        <v>255</v>
      </c>
      <c r="F18" s="161" t="s">
        <v>255</v>
      </c>
      <c r="G18" s="218" t="s">
        <v>255</v>
      </c>
      <c r="H18" s="244" t="s">
        <v>255</v>
      </c>
    </row>
    <row r="19" spans="1:16" x14ac:dyDescent="0.25">
      <c r="A19" s="158" t="s">
        <v>225</v>
      </c>
      <c r="B19" s="164" t="s">
        <v>226</v>
      </c>
      <c r="C19" s="216" t="s">
        <v>253</v>
      </c>
      <c r="D19" s="195" t="s">
        <v>253</v>
      </c>
      <c r="E19" s="226" t="s">
        <v>253</v>
      </c>
      <c r="F19" s="161" t="s">
        <v>253</v>
      </c>
      <c r="G19" s="218" t="s">
        <v>253</v>
      </c>
      <c r="H19" s="237" t="s">
        <v>253</v>
      </c>
    </row>
    <row r="20" spans="1:16" x14ac:dyDescent="0.25">
      <c r="A20" s="158" t="s">
        <v>227</v>
      </c>
      <c r="B20" s="164" t="s">
        <v>228</v>
      </c>
      <c r="C20" s="216" t="s">
        <v>257</v>
      </c>
      <c r="D20" s="189" t="s">
        <v>257</v>
      </c>
      <c r="E20" s="162" t="s">
        <v>257</v>
      </c>
      <c r="F20" s="161" t="s">
        <v>257</v>
      </c>
      <c r="G20" s="218" t="s">
        <v>257</v>
      </c>
      <c r="H20" s="240" t="s">
        <v>257</v>
      </c>
    </row>
    <row r="21" spans="1:16" x14ac:dyDescent="0.25">
      <c r="A21" s="165" t="s">
        <v>229</v>
      </c>
      <c r="B21" s="196" t="s">
        <v>230</v>
      </c>
      <c r="C21" s="221">
        <v>2999.2907307388505</v>
      </c>
      <c r="D21" s="366">
        <v>3538.5894907388506</v>
      </c>
      <c r="E21" s="221">
        <v>3524.45132473885</v>
      </c>
      <c r="F21" s="239">
        <v>4182.8461007388496</v>
      </c>
      <c r="G21" s="221">
        <v>5051.4423307388497</v>
      </c>
      <c r="H21" s="239">
        <v>5831.6283307388494</v>
      </c>
    </row>
    <row r="22" spans="1:16" x14ac:dyDescent="0.25">
      <c r="A22" s="158" t="s">
        <v>231</v>
      </c>
      <c r="B22" s="164" t="s">
        <v>176</v>
      </c>
      <c r="C22" s="216" t="s">
        <v>255</v>
      </c>
      <c r="D22" s="189" t="s">
        <v>255</v>
      </c>
      <c r="E22" s="162" t="s">
        <v>255</v>
      </c>
      <c r="F22" s="161" t="s">
        <v>255</v>
      </c>
      <c r="G22" s="218" t="s">
        <v>255</v>
      </c>
      <c r="H22" s="240" t="s">
        <v>255</v>
      </c>
    </row>
    <row r="23" spans="1:16" x14ac:dyDescent="0.25">
      <c r="A23" s="158" t="s">
        <v>232</v>
      </c>
      <c r="B23" s="159" t="s">
        <v>233</v>
      </c>
      <c r="C23" s="216" t="s">
        <v>259</v>
      </c>
      <c r="D23" s="189" t="s">
        <v>259</v>
      </c>
      <c r="E23" s="162" t="s">
        <v>279</v>
      </c>
      <c r="F23" s="161" t="s">
        <v>234</v>
      </c>
      <c r="G23" s="218" t="s">
        <v>259</v>
      </c>
      <c r="H23" s="240" t="s">
        <v>280</v>
      </c>
    </row>
    <row r="24" spans="1:16" x14ac:dyDescent="0.25">
      <c r="A24" s="158" t="s">
        <v>235</v>
      </c>
      <c r="B24" s="164" t="s">
        <v>236</v>
      </c>
      <c r="C24" s="216" t="s">
        <v>261</v>
      </c>
      <c r="D24" s="195" t="s">
        <v>261</v>
      </c>
      <c r="E24" s="226" t="s">
        <v>261</v>
      </c>
      <c r="F24" s="163" t="s">
        <v>261</v>
      </c>
      <c r="G24" s="218" t="s">
        <v>261</v>
      </c>
      <c r="H24" s="237" t="s">
        <v>261</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1" t="s">
        <v>450</v>
      </c>
      <c r="C29" s="571"/>
      <c r="D29" s="571"/>
      <c r="E29" s="571"/>
      <c r="F29" s="571"/>
      <c r="G29" s="571"/>
      <c r="H29" s="571"/>
      <c r="I29" s="571"/>
      <c r="J29" s="571"/>
      <c r="K29" s="233"/>
      <c r="L29" s="233"/>
      <c r="M29" s="233"/>
      <c r="N29" s="233"/>
      <c r="O29" s="233"/>
      <c r="P29" s="233"/>
    </row>
    <row r="30" spans="1:16" ht="27" customHeight="1" x14ac:dyDescent="0.25">
      <c r="A30" s="177" t="s">
        <v>240</v>
      </c>
      <c r="B30" s="568" t="s">
        <v>297</v>
      </c>
      <c r="C30" s="568"/>
      <c r="D30" s="568"/>
      <c r="E30" s="568"/>
      <c r="F30" s="568"/>
      <c r="G30" s="568"/>
      <c r="H30" s="568"/>
      <c r="I30" s="568"/>
      <c r="J30" s="568"/>
      <c r="K30" s="211"/>
      <c r="L30" s="211"/>
      <c r="M30" s="211"/>
      <c r="N30" s="211"/>
      <c r="O30" s="211"/>
      <c r="P30" s="211"/>
    </row>
    <row r="31" spans="1:16" ht="65.25" customHeight="1" x14ac:dyDescent="0.25">
      <c r="A31" s="177" t="s">
        <v>139</v>
      </c>
      <c r="B31" s="571" t="s">
        <v>365</v>
      </c>
      <c r="C31" s="571"/>
      <c r="D31" s="571"/>
      <c r="E31" s="571"/>
      <c r="F31" s="571"/>
      <c r="G31" s="571"/>
      <c r="H31" s="571"/>
      <c r="I31" s="571"/>
      <c r="J31" s="571"/>
      <c r="K31" s="211"/>
      <c r="L31" s="211"/>
      <c r="M31" s="211"/>
      <c r="N31" s="211"/>
      <c r="O31" s="211"/>
      <c r="P31" s="211"/>
    </row>
    <row r="32" spans="1:16" ht="65.25" customHeight="1" x14ac:dyDescent="0.25">
      <c r="A32" s="177" t="s">
        <v>241</v>
      </c>
      <c r="B32" s="570" t="s">
        <v>445</v>
      </c>
      <c r="C32" s="570"/>
      <c r="D32" s="570"/>
      <c r="E32" s="570"/>
      <c r="F32" s="570"/>
      <c r="G32" s="570"/>
      <c r="H32" s="570"/>
      <c r="I32" s="570"/>
      <c r="J32" s="570"/>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69" t="s">
        <v>252</v>
      </c>
      <c r="C34" s="569"/>
      <c r="D34" s="569"/>
      <c r="E34" s="569"/>
      <c r="F34" s="569"/>
      <c r="G34" s="569"/>
      <c r="H34" s="569"/>
      <c r="I34" s="569"/>
      <c r="J34" s="569"/>
      <c r="K34" s="211"/>
      <c r="L34" s="211"/>
      <c r="M34" s="211"/>
      <c r="N34" s="211"/>
      <c r="O34" s="211"/>
      <c r="P34" s="211"/>
    </row>
    <row r="35" spans="1:16" ht="15" customHeight="1" x14ac:dyDescent="0.25">
      <c r="A35" s="201" t="s">
        <v>253</v>
      </c>
      <c r="B35" s="571" t="s">
        <v>355</v>
      </c>
      <c r="C35" s="571"/>
      <c r="D35" s="571"/>
      <c r="E35" s="571"/>
      <c r="F35" s="571"/>
      <c r="G35" s="571"/>
      <c r="H35" s="571"/>
      <c r="I35" s="571"/>
      <c r="J35" s="571"/>
      <c r="K35" s="211"/>
      <c r="L35" s="211"/>
      <c r="M35" s="211"/>
      <c r="N35" s="211"/>
      <c r="O35" s="211"/>
      <c r="P35" s="211"/>
    </row>
    <row r="36" spans="1:16" ht="15" customHeight="1" x14ac:dyDescent="0.25">
      <c r="A36" s="177" t="s">
        <v>255</v>
      </c>
      <c r="B36" s="571" t="s">
        <v>256</v>
      </c>
      <c r="C36" s="571"/>
      <c r="D36" s="571"/>
      <c r="E36" s="571"/>
      <c r="F36" s="571"/>
      <c r="G36" s="571"/>
      <c r="H36" s="571"/>
      <c r="I36" s="177"/>
      <c r="J36" s="569"/>
      <c r="K36" s="569"/>
      <c r="L36" s="569"/>
      <c r="M36" s="569"/>
      <c r="N36" s="569"/>
      <c r="O36" s="569"/>
      <c r="P36" s="569"/>
    </row>
    <row r="37" spans="1:16" ht="15" customHeight="1" x14ac:dyDescent="0.25">
      <c r="A37" s="177" t="s">
        <v>257</v>
      </c>
      <c r="B37" s="569" t="s">
        <v>260</v>
      </c>
      <c r="C37" s="569"/>
      <c r="D37" s="569"/>
      <c r="E37" s="569"/>
      <c r="F37" s="569"/>
      <c r="G37" s="569"/>
      <c r="H37" s="569"/>
      <c r="I37" s="177"/>
      <c r="J37" s="457"/>
      <c r="K37" s="457"/>
      <c r="L37" s="457"/>
      <c r="M37" s="457"/>
      <c r="N37" s="457"/>
      <c r="O37" s="457"/>
      <c r="P37" s="457"/>
    </row>
    <row r="38" spans="1:16" ht="24" customHeight="1" x14ac:dyDescent="0.25">
      <c r="A38" s="201" t="s">
        <v>259</v>
      </c>
      <c r="B38" s="571" t="s">
        <v>262</v>
      </c>
      <c r="C38" s="571"/>
      <c r="D38" s="571"/>
      <c r="E38" s="571"/>
      <c r="F38" s="571"/>
      <c r="G38" s="571"/>
      <c r="H38" s="571"/>
      <c r="I38" s="571"/>
      <c r="J38" s="571"/>
      <c r="K38" s="211"/>
      <c r="L38" s="211"/>
      <c r="M38" s="211"/>
      <c r="N38" s="211"/>
      <c r="O38" s="211"/>
      <c r="P38" s="211"/>
    </row>
    <row r="39" spans="1:16" x14ac:dyDescent="0.25">
      <c r="A39" s="201" t="s">
        <v>261</v>
      </c>
      <c r="B39" s="571" t="s">
        <v>305</v>
      </c>
      <c r="C39" s="571"/>
      <c r="D39" s="571"/>
      <c r="E39" s="571"/>
      <c r="F39" s="571"/>
      <c r="G39" s="571"/>
      <c r="H39" s="571"/>
      <c r="I39" s="571"/>
      <c r="J39" s="571"/>
      <c r="K39" s="211"/>
      <c r="L39" s="211"/>
      <c r="M39" s="211"/>
      <c r="N39" s="211"/>
      <c r="O39" s="211"/>
      <c r="P39" s="211"/>
    </row>
    <row r="41" spans="1:16" ht="87.75" customHeight="1" x14ac:dyDescent="0.25">
      <c r="A41" s="573" t="s">
        <v>163</v>
      </c>
      <c r="B41" s="573"/>
      <c r="C41" s="573"/>
      <c r="D41" s="573"/>
      <c r="E41" s="573"/>
      <c r="F41" s="573"/>
      <c r="G41" s="573"/>
      <c r="H41" s="573"/>
      <c r="I41" s="573"/>
      <c r="J41" s="573"/>
    </row>
  </sheetData>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C52" zoomScale="85" zoomScaleNormal="85" workbookViewId="0">
      <selection activeCell="E37" sqref="E37"/>
    </sheetView>
  </sheetViews>
  <sheetFormatPr baseColWidth="10" defaultRowHeight="15" x14ac:dyDescent="0.25"/>
  <cols>
    <col min="1" max="1" width="0" style="2" hidden="1" customWidth="1"/>
    <col min="2" max="2" width="11.42578125" style="2"/>
    <col min="3" max="3" width="3.85546875" style="2" customWidth="1"/>
    <col min="4" max="4" width="81.28515625" style="2" customWidth="1"/>
    <col min="5" max="5" width="15.85546875" style="3" customWidth="1"/>
    <col min="6" max="6" width="21.28515625" style="2" customWidth="1"/>
    <col min="7" max="10" width="11.42578125" style="2"/>
    <col min="11" max="11" width="12.85546875" style="2" customWidth="1"/>
    <col min="12"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505" t="s">
        <v>17</v>
      </c>
      <c r="G6" s="505"/>
      <c r="H6" s="505"/>
      <c r="I6" s="505"/>
      <c r="J6" s="505"/>
      <c r="K6" s="8">
        <v>4169.6138703799988</v>
      </c>
      <c r="L6" s="13"/>
    </row>
    <row r="7" spans="2:12" x14ac:dyDescent="0.25">
      <c r="D7" s="11" t="s">
        <v>18</v>
      </c>
      <c r="E7" s="7" t="s">
        <v>19</v>
      </c>
      <c r="F7" s="505" t="s">
        <v>17</v>
      </c>
      <c r="G7" s="505"/>
      <c r="H7" s="505"/>
      <c r="I7" s="505"/>
      <c r="J7" s="505"/>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506" t="s">
        <v>9</v>
      </c>
      <c r="E19" s="507" t="s">
        <v>1</v>
      </c>
      <c r="F19" s="508" t="s">
        <v>2</v>
      </c>
      <c r="G19" s="509"/>
      <c r="H19" s="509"/>
      <c r="I19" s="509"/>
      <c r="J19" s="510"/>
    </row>
    <row r="20" spans="4:12" ht="21" x14ac:dyDescent="0.35">
      <c r="D20" s="506"/>
      <c r="E20" s="507"/>
      <c r="F20" s="511" t="s">
        <v>23</v>
      </c>
      <c r="G20" s="512"/>
      <c r="H20" s="512"/>
      <c r="I20" s="512"/>
      <c r="J20" s="513"/>
    </row>
    <row r="21" spans="4:12" x14ac:dyDescent="0.25">
      <c r="D21" s="12" t="s">
        <v>24</v>
      </c>
      <c r="E21" s="14" t="s">
        <v>10</v>
      </c>
      <c r="F21" s="505" t="s">
        <v>25</v>
      </c>
      <c r="G21" s="505"/>
      <c r="H21" s="505"/>
      <c r="I21" s="505"/>
      <c r="J21" s="505"/>
      <c r="K21" s="15">
        <v>4915.26</v>
      </c>
      <c r="L21" s="2" t="s">
        <v>356</v>
      </c>
    </row>
    <row r="22" spans="4:12" x14ac:dyDescent="0.25">
      <c r="D22" s="12" t="s">
        <v>26</v>
      </c>
      <c r="E22" s="14" t="s">
        <v>11</v>
      </c>
      <c r="F22" s="505" t="s">
        <v>27</v>
      </c>
      <c r="G22" s="505"/>
      <c r="H22" s="505"/>
      <c r="I22" s="505"/>
      <c r="J22" s="505"/>
      <c r="K22" s="15">
        <v>203.74</v>
      </c>
      <c r="L22" s="2" t="s">
        <v>356</v>
      </c>
    </row>
    <row r="23" spans="4:12" x14ac:dyDescent="0.25">
      <c r="D23" s="12" t="s">
        <v>28</v>
      </c>
      <c r="E23" s="14" t="s">
        <v>4</v>
      </c>
      <c r="F23" s="505" t="s">
        <v>29</v>
      </c>
      <c r="G23" s="505"/>
      <c r="H23" s="505"/>
      <c r="I23" s="505"/>
      <c r="J23" s="505"/>
      <c r="K23" s="15">
        <v>4923.01</v>
      </c>
      <c r="L23" s="2" t="s">
        <v>356</v>
      </c>
    </row>
    <row r="24" spans="4:12" x14ac:dyDescent="0.25">
      <c r="D24" s="12" t="s">
        <v>30</v>
      </c>
      <c r="E24" s="14" t="s">
        <v>3</v>
      </c>
      <c r="F24" s="505" t="s">
        <v>29</v>
      </c>
      <c r="G24" s="505"/>
      <c r="H24" s="505"/>
      <c r="I24" s="505"/>
      <c r="J24" s="505"/>
      <c r="K24" s="15">
        <v>5015.57</v>
      </c>
      <c r="L24" s="2" t="s">
        <v>358</v>
      </c>
    </row>
    <row r="25" spans="4:12" x14ac:dyDescent="0.25">
      <c r="D25" s="12" t="s">
        <v>31</v>
      </c>
      <c r="E25" s="14" t="s">
        <v>12</v>
      </c>
      <c r="F25" s="505" t="s">
        <v>32</v>
      </c>
      <c r="G25" s="505"/>
      <c r="H25" s="505"/>
      <c r="I25" s="505"/>
      <c r="J25" s="505"/>
      <c r="K25" s="15">
        <v>4254.7080309999992</v>
      </c>
      <c r="L25" s="375" t="s">
        <v>356</v>
      </c>
    </row>
    <row r="26" spans="4:12" x14ac:dyDescent="0.25">
      <c r="D26" s="12" t="s">
        <v>33</v>
      </c>
      <c r="E26" s="14" t="s">
        <v>34</v>
      </c>
      <c r="F26" s="505" t="s">
        <v>32</v>
      </c>
      <c r="G26" s="505"/>
      <c r="H26" s="505"/>
      <c r="I26" s="505"/>
      <c r="J26" s="505"/>
      <c r="K26" s="15">
        <v>4391.8172209999993</v>
      </c>
      <c r="L26" s="2" t="s">
        <v>356</v>
      </c>
    </row>
    <row r="27" spans="4:12" ht="15" customHeight="1" x14ac:dyDescent="0.25">
      <c r="D27" s="12" t="s">
        <v>35</v>
      </c>
      <c r="E27" s="14" t="s">
        <v>36</v>
      </c>
      <c r="F27" s="505" t="s">
        <v>32</v>
      </c>
      <c r="G27" s="505"/>
      <c r="H27" s="505"/>
      <c r="I27" s="505"/>
      <c r="J27" s="505"/>
      <c r="K27" s="15">
        <v>4384.4327060000005</v>
      </c>
      <c r="L27" s="2" t="s">
        <v>356</v>
      </c>
    </row>
    <row r="28" spans="4:12" ht="15" customHeight="1" x14ac:dyDescent="0.25">
      <c r="D28" s="12" t="s">
        <v>37</v>
      </c>
      <c r="E28" s="14" t="s">
        <v>38</v>
      </c>
      <c r="F28" s="505" t="s">
        <v>32</v>
      </c>
      <c r="G28" s="505"/>
      <c r="H28" s="505"/>
      <c r="I28" s="505"/>
      <c r="J28" s="505"/>
      <c r="K28" s="15">
        <v>4505.5387520000004</v>
      </c>
      <c r="L28" s="2" t="s">
        <v>356</v>
      </c>
    </row>
    <row r="29" spans="4:12" ht="15" customHeight="1" x14ac:dyDescent="0.25">
      <c r="D29" s="12" t="s">
        <v>39</v>
      </c>
      <c r="E29" s="14" t="s">
        <v>40</v>
      </c>
      <c r="F29" s="505" t="s">
        <v>32</v>
      </c>
      <c r="G29" s="505"/>
      <c r="H29" s="505"/>
      <c r="I29" s="505"/>
      <c r="J29" s="505"/>
      <c r="K29" s="15">
        <v>4234.7732020000003</v>
      </c>
      <c r="L29" s="2" t="s">
        <v>356</v>
      </c>
    </row>
    <row r="30" spans="4:12" x14ac:dyDescent="0.25">
      <c r="D30" s="12" t="s">
        <v>41</v>
      </c>
      <c r="E30" s="14" t="s">
        <v>42</v>
      </c>
      <c r="F30" s="505" t="s">
        <v>32</v>
      </c>
      <c r="G30" s="505"/>
      <c r="H30" s="505"/>
      <c r="I30" s="505"/>
      <c r="J30" s="505"/>
      <c r="K30" s="15">
        <v>4923.01</v>
      </c>
      <c r="L30" s="2" t="s">
        <v>356</v>
      </c>
    </row>
    <row r="31" spans="4:12" x14ac:dyDescent="0.25">
      <c r="D31" s="12" t="s">
        <v>43</v>
      </c>
      <c r="E31" s="14" t="s">
        <v>4</v>
      </c>
      <c r="F31" s="505" t="s">
        <v>29</v>
      </c>
      <c r="G31" s="505"/>
      <c r="H31" s="505"/>
      <c r="I31" s="505"/>
      <c r="J31" s="505"/>
      <c r="K31" s="15">
        <v>4923.01</v>
      </c>
      <c r="L31" s="2" t="s">
        <v>356</v>
      </c>
    </row>
    <row r="32" spans="4:12" x14ac:dyDescent="0.25">
      <c r="D32" s="12" t="s">
        <v>44</v>
      </c>
      <c r="E32" s="14" t="s">
        <v>40</v>
      </c>
      <c r="F32" s="505" t="s">
        <v>45</v>
      </c>
      <c r="G32" s="505"/>
      <c r="H32" s="505"/>
      <c r="I32" s="505"/>
      <c r="J32" s="505"/>
      <c r="K32" s="15">
        <v>4923.01</v>
      </c>
      <c r="L32" s="2" t="s">
        <v>356</v>
      </c>
    </row>
    <row r="33" spans="4:12" x14ac:dyDescent="0.25">
      <c r="D33" s="12" t="s">
        <v>46</v>
      </c>
      <c r="E33" s="14" t="s">
        <v>47</v>
      </c>
      <c r="F33" s="505" t="s">
        <v>32</v>
      </c>
      <c r="G33" s="505"/>
      <c r="H33" s="505"/>
      <c r="I33" s="505"/>
      <c r="J33" s="505"/>
      <c r="K33" s="15">
        <v>4056.8112165399998</v>
      </c>
      <c r="L33" s="2" t="s">
        <v>358</v>
      </c>
    </row>
    <row r="34" spans="4:12" x14ac:dyDescent="0.25">
      <c r="D34" s="12" t="s">
        <v>48</v>
      </c>
      <c r="E34" s="14">
        <v>0</v>
      </c>
      <c r="F34" s="505"/>
      <c r="G34" s="505"/>
      <c r="H34" s="505"/>
      <c r="I34" s="505"/>
      <c r="J34" s="505"/>
      <c r="K34" s="15"/>
      <c r="L34" s="2" t="s">
        <v>356</v>
      </c>
    </row>
    <row r="35" spans="4:12" x14ac:dyDescent="0.25">
      <c r="D35" s="12" t="s">
        <v>49</v>
      </c>
      <c r="E35" s="14" t="s">
        <v>50</v>
      </c>
      <c r="F35" s="505" t="s">
        <v>32</v>
      </c>
      <c r="G35" s="505"/>
      <c r="H35" s="505"/>
      <c r="I35" s="505"/>
      <c r="J35" s="505"/>
      <c r="K35" s="15">
        <v>3853.07121654</v>
      </c>
      <c r="L35" s="2" t="s">
        <v>356</v>
      </c>
    </row>
    <row r="36" spans="4:12" x14ac:dyDescent="0.25">
      <c r="D36" s="12" t="s">
        <v>51</v>
      </c>
      <c r="E36" s="14" t="s">
        <v>52</v>
      </c>
      <c r="F36" s="505" t="s">
        <v>32</v>
      </c>
      <c r="G36" s="505"/>
      <c r="H36" s="505"/>
      <c r="I36" s="505"/>
      <c r="J36" s="505"/>
      <c r="K36" s="15">
        <v>203.74</v>
      </c>
      <c r="L36" s="2" t="s">
        <v>356</v>
      </c>
    </row>
    <row r="37" spans="4:12" x14ac:dyDescent="0.25">
      <c r="D37" s="12" t="s">
        <v>53</v>
      </c>
      <c r="E37" s="14" t="s">
        <v>54</v>
      </c>
      <c r="F37" s="505" t="s">
        <v>55</v>
      </c>
      <c r="G37" s="505"/>
      <c r="H37" s="505"/>
      <c r="I37" s="505"/>
      <c r="J37" s="505"/>
      <c r="K37" s="15">
        <v>4345.8234222199999</v>
      </c>
      <c r="L37" s="16" t="s">
        <v>357</v>
      </c>
    </row>
    <row r="38" spans="4:12" x14ac:dyDescent="0.25">
      <c r="D38" s="12" t="s">
        <v>56</v>
      </c>
      <c r="E38" s="14" t="s">
        <v>57</v>
      </c>
      <c r="F38" s="505" t="s">
        <v>55</v>
      </c>
      <c r="G38" s="505"/>
      <c r="H38" s="505"/>
      <c r="I38" s="505"/>
      <c r="J38" s="505"/>
      <c r="K38" s="15">
        <v>4142.0884222200002</v>
      </c>
      <c r="L38" s="2" t="s">
        <v>356</v>
      </c>
    </row>
    <row r="39" spans="4:12" x14ac:dyDescent="0.25">
      <c r="D39" s="12" t="s">
        <v>58</v>
      </c>
      <c r="E39" s="14" t="s">
        <v>59</v>
      </c>
      <c r="F39" s="505" t="s">
        <v>55</v>
      </c>
      <c r="G39" s="505"/>
      <c r="H39" s="505"/>
      <c r="I39" s="505"/>
      <c r="J39" s="505"/>
      <c r="K39" s="15">
        <v>203.73500000000001</v>
      </c>
      <c r="L39" s="2" t="s">
        <v>356</v>
      </c>
    </row>
    <row r="40" spans="4:12" x14ac:dyDescent="0.25">
      <c r="D40" s="12" t="s">
        <v>60</v>
      </c>
      <c r="E40" s="14" t="s">
        <v>61</v>
      </c>
      <c r="F40" s="505" t="s">
        <v>62</v>
      </c>
      <c r="G40" s="505"/>
      <c r="H40" s="505"/>
      <c r="I40" s="505"/>
      <c r="J40" s="505"/>
      <c r="K40" s="15">
        <v>4180.670733259999</v>
      </c>
      <c r="L40" s="16" t="s">
        <v>357</v>
      </c>
    </row>
    <row r="41" spans="4:12" x14ac:dyDescent="0.25">
      <c r="D41" s="12" t="s">
        <v>63</v>
      </c>
      <c r="E41" s="14" t="s">
        <v>64</v>
      </c>
      <c r="F41" s="505" t="s">
        <v>62</v>
      </c>
      <c r="G41" s="505"/>
      <c r="H41" s="505"/>
      <c r="I41" s="505"/>
      <c r="J41" s="505"/>
      <c r="K41" s="15">
        <v>3976.9357332599993</v>
      </c>
      <c r="L41" s="17" t="s">
        <v>356</v>
      </c>
    </row>
    <row r="42" spans="4:12" x14ac:dyDescent="0.25">
      <c r="D42" s="12" t="s">
        <v>65</v>
      </c>
      <c r="E42" s="14" t="s">
        <v>66</v>
      </c>
      <c r="F42" s="505" t="s">
        <v>62</v>
      </c>
      <c r="G42" s="505"/>
      <c r="H42" s="505"/>
      <c r="I42" s="505"/>
      <c r="J42" s="505"/>
      <c r="K42" s="15">
        <v>203.73500000000001</v>
      </c>
      <c r="L42" s="2" t="s">
        <v>356</v>
      </c>
    </row>
    <row r="43" spans="4:12" x14ac:dyDescent="0.25">
      <c r="D43" s="12" t="s">
        <v>67</v>
      </c>
      <c r="E43" s="14" t="s">
        <v>68</v>
      </c>
      <c r="F43" s="505" t="s">
        <v>69</v>
      </c>
      <c r="G43" s="505"/>
      <c r="H43" s="505"/>
      <c r="I43" s="505"/>
      <c r="J43" s="505"/>
      <c r="K43" s="15">
        <v>4373.3488703799985</v>
      </c>
      <c r="L43" s="16" t="s">
        <v>356</v>
      </c>
    </row>
    <row r="44" spans="4:12" x14ac:dyDescent="0.25">
      <c r="D44" s="12" t="s">
        <v>70</v>
      </c>
      <c r="E44" s="14" t="s">
        <v>16</v>
      </c>
      <c r="F44" s="505" t="s">
        <v>69</v>
      </c>
      <c r="G44" s="505"/>
      <c r="H44" s="505"/>
      <c r="I44" s="505"/>
      <c r="J44" s="505"/>
      <c r="K44" s="15">
        <v>4169.6138703799988</v>
      </c>
      <c r="L44" s="2" t="s">
        <v>356</v>
      </c>
    </row>
    <row r="45" spans="4:12" x14ac:dyDescent="0.25">
      <c r="D45" s="12" t="s">
        <v>71</v>
      </c>
      <c r="E45" s="14" t="s">
        <v>72</v>
      </c>
      <c r="F45" s="505" t="s">
        <v>69</v>
      </c>
      <c r="G45" s="505"/>
      <c r="H45" s="505"/>
      <c r="I45" s="505"/>
      <c r="J45" s="505"/>
      <c r="K45" s="15">
        <v>203.73500000000001</v>
      </c>
      <c r="L45" s="2" t="s">
        <v>356</v>
      </c>
    </row>
    <row r="46" spans="4:12" x14ac:dyDescent="0.25">
      <c r="D46" s="12" t="s">
        <v>73</v>
      </c>
      <c r="E46" s="10">
        <v>0</v>
      </c>
      <c r="F46" s="505"/>
      <c r="G46" s="505"/>
      <c r="H46" s="505"/>
      <c r="I46" s="505"/>
      <c r="J46" s="505"/>
      <c r="K46" s="15"/>
      <c r="L46" s="2" t="s">
        <v>358</v>
      </c>
    </row>
    <row r="47" spans="4:12" x14ac:dyDescent="0.25">
      <c r="D47" s="374" t="s">
        <v>359</v>
      </c>
      <c r="E47" s="18"/>
      <c r="F47" s="2" t="s">
        <v>360</v>
      </c>
      <c r="K47" s="2">
        <f>+'Calculo IP ZDF'!C33</f>
        <v>4160.2176900000004</v>
      </c>
      <c r="L47" s="2" t="s">
        <v>356</v>
      </c>
    </row>
    <row r="48" spans="4:12" x14ac:dyDescent="0.25">
      <c r="D48" s="374" t="s">
        <v>361</v>
      </c>
      <c r="E48" s="18"/>
      <c r="F48" s="2" t="s">
        <v>362</v>
      </c>
      <c r="K48" s="2">
        <f>+'Calculo IP ZDF'!C29</f>
        <v>3928.0254600000003</v>
      </c>
      <c r="L48" s="375" t="s">
        <v>356</v>
      </c>
    </row>
    <row r="49" spans="4:12" x14ac:dyDescent="0.25">
      <c r="D49" s="373" t="s">
        <v>363</v>
      </c>
      <c r="K49" s="2">
        <f>+'Calculo IP ZDF'!C32</f>
        <v>4128.5745500000003</v>
      </c>
      <c r="L49" s="375" t="s">
        <v>356</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E8" sqref="E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
        <v>456</v>
      </c>
    </row>
    <row r="2" spans="1:8" ht="15.75" thickBot="1" x14ac:dyDescent="0.3">
      <c r="A2" s="180" t="s">
        <v>202</v>
      </c>
      <c r="B2" s="180"/>
    </row>
    <row r="3" spans="1:8" ht="15.75" customHeight="1" thickTop="1" x14ac:dyDescent="0.25">
      <c r="A3" s="212"/>
      <c r="B3" s="213" t="s">
        <v>353</v>
      </c>
      <c r="C3" s="574" t="s">
        <v>203</v>
      </c>
      <c r="D3" s="575"/>
      <c r="E3" s="575"/>
      <c r="F3" s="576"/>
      <c r="G3" s="580" t="s">
        <v>275</v>
      </c>
      <c r="H3" s="581"/>
    </row>
    <row r="4" spans="1:8" x14ac:dyDescent="0.25">
      <c r="A4" s="155"/>
      <c r="B4" s="314" t="s">
        <v>354</v>
      </c>
      <c r="C4" s="577"/>
      <c r="D4" s="578"/>
      <c r="E4" s="578"/>
      <c r="F4" s="579"/>
      <c r="G4" s="582"/>
      <c r="H4" s="583"/>
    </row>
    <row r="5" spans="1:8" ht="38.25" customHeight="1" x14ac:dyDescent="0.25">
      <c r="A5" s="562" t="s">
        <v>204</v>
      </c>
      <c r="B5" s="564" t="s">
        <v>205</v>
      </c>
      <c r="C5" s="566" t="s">
        <v>266</v>
      </c>
      <c r="D5" s="349" t="s">
        <v>97</v>
      </c>
      <c r="E5" s="349" t="s">
        <v>194</v>
      </c>
      <c r="F5" s="349" t="s">
        <v>444</v>
      </c>
      <c r="G5" s="349" t="s">
        <v>97</v>
      </c>
      <c r="H5" s="333" t="s">
        <v>444</v>
      </c>
    </row>
    <row r="6" spans="1:8" x14ac:dyDescent="0.25">
      <c r="A6" s="562"/>
      <c r="B6" s="564"/>
      <c r="C6" s="567"/>
      <c r="D6" s="187">
        <v>0.08</v>
      </c>
      <c r="E6" s="205">
        <v>0.02</v>
      </c>
      <c r="F6" s="188">
        <v>0.1</v>
      </c>
      <c r="G6" s="205">
        <v>0.1</v>
      </c>
      <c r="H6" s="188">
        <v>0.1</v>
      </c>
    </row>
    <row r="7" spans="1:8" x14ac:dyDescent="0.25">
      <c r="A7" s="563"/>
      <c r="B7" s="565"/>
      <c r="C7" s="348" t="s">
        <v>206</v>
      </c>
      <c r="D7" s="349" t="s">
        <v>206</v>
      </c>
      <c r="E7" s="349" t="s">
        <v>206</v>
      </c>
      <c r="F7" s="349" t="s">
        <v>206</v>
      </c>
      <c r="G7" s="348" t="s">
        <v>206</v>
      </c>
      <c r="H7" s="333" t="s">
        <v>206</v>
      </c>
    </row>
    <row r="8" spans="1:8" x14ac:dyDescent="0.25">
      <c r="A8" s="158" t="s">
        <v>207</v>
      </c>
      <c r="B8" s="164" t="s">
        <v>208</v>
      </c>
      <c r="C8" s="230">
        <v>2893.3124000000003</v>
      </c>
      <c r="D8" s="236">
        <v>3432.6111600000004</v>
      </c>
      <c r="E8" s="238">
        <v>3428.8903729999997</v>
      </c>
      <c r="F8" s="237">
        <v>4070.4764649999997</v>
      </c>
      <c r="G8" s="215">
        <v>4453.83</v>
      </c>
      <c r="H8" s="240">
        <v>5253.9820000000009</v>
      </c>
    </row>
    <row r="9" spans="1:8" x14ac:dyDescent="0.25">
      <c r="A9" s="158" t="s">
        <v>209</v>
      </c>
      <c r="B9" s="164" t="s">
        <v>210</v>
      </c>
      <c r="C9" s="216" t="s">
        <v>211</v>
      </c>
      <c r="D9" s="190" t="s">
        <v>211</v>
      </c>
      <c r="E9" s="217" t="s">
        <v>211</v>
      </c>
      <c r="F9" s="161" t="s">
        <v>211</v>
      </c>
      <c r="G9" s="215">
        <v>491.63400000000001</v>
      </c>
      <c r="H9" s="241">
        <v>470.57</v>
      </c>
    </row>
    <row r="10" spans="1:8" x14ac:dyDescent="0.25">
      <c r="A10" s="158"/>
      <c r="B10" s="164" t="s">
        <v>138</v>
      </c>
      <c r="C10" s="216" t="s">
        <v>211</v>
      </c>
      <c r="D10" s="190" t="s">
        <v>211</v>
      </c>
      <c r="E10" s="217" t="s">
        <v>211</v>
      </c>
      <c r="F10" s="161" t="s">
        <v>211</v>
      </c>
      <c r="G10" s="231" t="s">
        <v>139</v>
      </c>
      <c r="H10" s="241" t="s">
        <v>139</v>
      </c>
    </row>
    <row r="11" spans="1:8" x14ac:dyDescent="0.25">
      <c r="A11" s="158"/>
      <c r="B11" s="164" t="s">
        <v>140</v>
      </c>
      <c r="C11" s="216" t="s">
        <v>241</v>
      </c>
      <c r="D11" s="190" t="s">
        <v>241</v>
      </c>
      <c r="E11" s="217" t="s">
        <v>241</v>
      </c>
      <c r="F11" s="161" t="s">
        <v>241</v>
      </c>
      <c r="G11" s="215" t="s">
        <v>241</v>
      </c>
      <c r="H11" s="237" t="s">
        <v>241</v>
      </c>
    </row>
    <row r="12" spans="1:8" ht="25.5" x14ac:dyDescent="0.25">
      <c r="A12" s="158" t="s">
        <v>212</v>
      </c>
      <c r="B12" s="164" t="s">
        <v>296</v>
      </c>
      <c r="C12" s="216" t="s">
        <v>240</v>
      </c>
      <c r="D12" s="189" t="s">
        <v>240</v>
      </c>
      <c r="E12" s="162" t="s">
        <v>240</v>
      </c>
      <c r="F12" s="161" t="s">
        <v>240</v>
      </c>
      <c r="G12" s="215" t="s">
        <v>240</v>
      </c>
      <c r="H12" s="240" t="s">
        <v>240</v>
      </c>
    </row>
    <row r="13" spans="1:8" x14ac:dyDescent="0.25">
      <c r="A13" s="158" t="s">
        <v>277</v>
      </c>
      <c r="B13" s="164" t="s">
        <v>278</v>
      </c>
      <c r="C13" s="216" t="s">
        <v>279</v>
      </c>
      <c r="D13" s="189" t="s">
        <v>279</v>
      </c>
      <c r="E13" s="217" t="s">
        <v>241</v>
      </c>
      <c r="F13" s="163" t="s">
        <v>241</v>
      </c>
      <c r="G13" s="215" t="s">
        <v>279</v>
      </c>
      <c r="H13" s="237" t="s">
        <v>241</v>
      </c>
    </row>
    <row r="14" spans="1:8" x14ac:dyDescent="0.25">
      <c r="A14" s="158" t="s">
        <v>214</v>
      </c>
      <c r="B14" s="164" t="s">
        <v>215</v>
      </c>
      <c r="C14" s="216">
        <v>21.906900579364827</v>
      </c>
      <c r="D14" s="189">
        <v>21.906900579364827</v>
      </c>
      <c r="E14" s="162">
        <v>21.906900579364827</v>
      </c>
      <c r="F14" s="161">
        <v>21.906900579364827</v>
      </c>
      <c r="G14" s="215">
        <v>21.906900579364827</v>
      </c>
      <c r="H14" s="240">
        <v>21.906900579364827</v>
      </c>
    </row>
    <row r="15" spans="1:8" x14ac:dyDescent="0.25">
      <c r="A15" s="158" t="s">
        <v>218</v>
      </c>
      <c r="B15" s="235" t="s">
        <v>219</v>
      </c>
      <c r="C15" s="216">
        <v>12.561430159485083</v>
      </c>
      <c r="D15" s="189">
        <v>12.561430159485083</v>
      </c>
      <c r="E15" s="218">
        <v>12.561430159485083</v>
      </c>
      <c r="F15" s="161">
        <v>12.561430159485083</v>
      </c>
      <c r="G15" s="215">
        <v>12.561430159485083</v>
      </c>
      <c r="H15" s="240">
        <v>12.561430159485083</v>
      </c>
    </row>
    <row r="16" spans="1:8" x14ac:dyDescent="0.25">
      <c r="A16" s="158"/>
      <c r="B16" s="164" t="s">
        <v>220</v>
      </c>
      <c r="C16" s="216">
        <v>71.510000000000005</v>
      </c>
      <c r="D16" s="363">
        <v>71.510000000000005</v>
      </c>
      <c r="E16" s="220">
        <v>71.510000000000005</v>
      </c>
      <c r="F16" s="161">
        <v>71.510000000000005</v>
      </c>
      <c r="G16" s="215">
        <v>71.510000000000005</v>
      </c>
      <c r="H16" s="242">
        <v>71.510000000000005</v>
      </c>
    </row>
    <row r="17" spans="1:16" x14ac:dyDescent="0.25">
      <c r="A17" s="165" t="s">
        <v>221</v>
      </c>
      <c r="B17" s="196" t="s">
        <v>222</v>
      </c>
      <c r="C17" s="221">
        <v>2999.2907307388505</v>
      </c>
      <c r="D17" s="364">
        <v>3538.5894907388506</v>
      </c>
      <c r="E17" s="222">
        <v>3534.8687037388499</v>
      </c>
      <c r="F17" s="223">
        <v>4176.4547957388495</v>
      </c>
      <c r="G17" s="224">
        <v>5051.4423307388497</v>
      </c>
      <c r="H17" s="243">
        <v>5830.5303307388504</v>
      </c>
    </row>
    <row r="18" spans="1:16" x14ac:dyDescent="0.25">
      <c r="A18" s="158" t="s">
        <v>223</v>
      </c>
      <c r="B18" s="164" t="s">
        <v>224</v>
      </c>
      <c r="C18" s="216" t="s">
        <v>255</v>
      </c>
      <c r="D18" s="365" t="s">
        <v>255</v>
      </c>
      <c r="E18" s="225" t="s">
        <v>255</v>
      </c>
      <c r="F18" s="161" t="s">
        <v>255</v>
      </c>
      <c r="G18" s="218" t="s">
        <v>255</v>
      </c>
      <c r="H18" s="244" t="s">
        <v>255</v>
      </c>
    </row>
    <row r="19" spans="1:16" x14ac:dyDescent="0.25">
      <c r="A19" s="158" t="s">
        <v>225</v>
      </c>
      <c r="B19" s="164" t="s">
        <v>226</v>
      </c>
      <c r="C19" s="216" t="s">
        <v>253</v>
      </c>
      <c r="D19" s="195" t="s">
        <v>253</v>
      </c>
      <c r="E19" s="226" t="s">
        <v>253</v>
      </c>
      <c r="F19" s="161" t="s">
        <v>253</v>
      </c>
      <c r="G19" s="218" t="s">
        <v>253</v>
      </c>
      <c r="H19" s="237" t="s">
        <v>253</v>
      </c>
    </row>
    <row r="20" spans="1:16" x14ac:dyDescent="0.25">
      <c r="A20" s="158" t="s">
        <v>227</v>
      </c>
      <c r="B20" s="164" t="s">
        <v>228</v>
      </c>
      <c r="C20" s="216" t="s">
        <v>257</v>
      </c>
      <c r="D20" s="189" t="s">
        <v>257</v>
      </c>
      <c r="E20" s="162" t="s">
        <v>257</v>
      </c>
      <c r="F20" s="161" t="s">
        <v>257</v>
      </c>
      <c r="G20" s="218" t="s">
        <v>257</v>
      </c>
      <c r="H20" s="240" t="s">
        <v>257</v>
      </c>
    </row>
    <row r="21" spans="1:16" x14ac:dyDescent="0.25">
      <c r="A21" s="165" t="s">
        <v>229</v>
      </c>
      <c r="B21" s="196" t="s">
        <v>230</v>
      </c>
      <c r="C21" s="221">
        <v>2999.2907307388505</v>
      </c>
      <c r="D21" s="366">
        <v>3538.5894907388506</v>
      </c>
      <c r="E21" s="221">
        <v>3534.8687037388499</v>
      </c>
      <c r="F21" s="239">
        <v>4176.4547957388495</v>
      </c>
      <c r="G21" s="221">
        <v>5051.4423307388497</v>
      </c>
      <c r="H21" s="239">
        <v>5830.5303307388504</v>
      </c>
    </row>
    <row r="22" spans="1:16" x14ac:dyDescent="0.25">
      <c r="A22" s="158" t="s">
        <v>231</v>
      </c>
      <c r="B22" s="164" t="s">
        <v>176</v>
      </c>
      <c r="C22" s="216" t="s">
        <v>255</v>
      </c>
      <c r="D22" s="189" t="s">
        <v>255</v>
      </c>
      <c r="E22" s="162" t="s">
        <v>255</v>
      </c>
      <c r="F22" s="161" t="s">
        <v>255</v>
      </c>
      <c r="G22" s="218" t="s">
        <v>255</v>
      </c>
      <c r="H22" s="240" t="s">
        <v>255</v>
      </c>
    </row>
    <row r="23" spans="1:16" x14ac:dyDescent="0.25">
      <c r="A23" s="158" t="s">
        <v>232</v>
      </c>
      <c r="B23" s="159" t="s">
        <v>233</v>
      </c>
      <c r="C23" s="216" t="s">
        <v>259</v>
      </c>
      <c r="D23" s="189" t="s">
        <v>259</v>
      </c>
      <c r="E23" s="162" t="s">
        <v>279</v>
      </c>
      <c r="F23" s="161" t="s">
        <v>234</v>
      </c>
      <c r="G23" s="218" t="s">
        <v>259</v>
      </c>
      <c r="H23" s="240" t="s">
        <v>280</v>
      </c>
    </row>
    <row r="24" spans="1:16" x14ac:dyDescent="0.25">
      <c r="A24" s="158" t="s">
        <v>235</v>
      </c>
      <c r="B24" s="164" t="s">
        <v>236</v>
      </c>
      <c r="C24" s="216" t="s">
        <v>261</v>
      </c>
      <c r="D24" s="195" t="s">
        <v>261</v>
      </c>
      <c r="E24" s="226" t="s">
        <v>261</v>
      </c>
      <c r="F24" s="163" t="s">
        <v>261</v>
      </c>
      <c r="G24" s="218" t="s">
        <v>261</v>
      </c>
      <c r="H24" s="237" t="s">
        <v>261</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1" t="s">
        <v>450</v>
      </c>
      <c r="C29" s="571"/>
      <c r="D29" s="571"/>
      <c r="E29" s="571"/>
      <c r="F29" s="571"/>
      <c r="G29" s="571"/>
      <c r="H29" s="571"/>
      <c r="I29" s="571"/>
      <c r="J29" s="571"/>
      <c r="K29" s="233"/>
      <c r="L29" s="233"/>
      <c r="M29" s="233"/>
      <c r="N29" s="233"/>
      <c r="O29" s="233"/>
      <c r="P29" s="233"/>
    </row>
    <row r="30" spans="1:16" ht="27" customHeight="1" x14ac:dyDescent="0.25">
      <c r="A30" s="177" t="s">
        <v>240</v>
      </c>
      <c r="B30" s="568" t="s">
        <v>297</v>
      </c>
      <c r="C30" s="568"/>
      <c r="D30" s="568"/>
      <c r="E30" s="568"/>
      <c r="F30" s="568"/>
      <c r="G30" s="568"/>
      <c r="H30" s="568"/>
      <c r="I30" s="568"/>
      <c r="J30" s="568"/>
      <c r="K30" s="211"/>
      <c r="L30" s="211"/>
      <c r="M30" s="211"/>
      <c r="N30" s="211"/>
      <c r="O30" s="211"/>
      <c r="P30" s="211"/>
    </row>
    <row r="31" spans="1:16" ht="65.25" customHeight="1" x14ac:dyDescent="0.25">
      <c r="A31" s="177" t="s">
        <v>139</v>
      </c>
      <c r="B31" s="571" t="s">
        <v>365</v>
      </c>
      <c r="C31" s="571"/>
      <c r="D31" s="571"/>
      <c r="E31" s="571"/>
      <c r="F31" s="571"/>
      <c r="G31" s="571"/>
      <c r="H31" s="571"/>
      <c r="I31" s="571"/>
      <c r="J31" s="571"/>
      <c r="K31" s="211"/>
      <c r="L31" s="211"/>
      <c r="M31" s="211"/>
      <c r="N31" s="211"/>
      <c r="O31" s="211"/>
      <c r="P31" s="211"/>
    </row>
    <row r="32" spans="1:16" ht="65.25" customHeight="1" x14ac:dyDescent="0.25">
      <c r="A32" s="177" t="s">
        <v>241</v>
      </c>
      <c r="B32" s="570" t="s">
        <v>445</v>
      </c>
      <c r="C32" s="570"/>
      <c r="D32" s="570"/>
      <c r="E32" s="570"/>
      <c r="F32" s="570"/>
      <c r="G32" s="570"/>
      <c r="H32" s="570"/>
      <c r="I32" s="570"/>
      <c r="J32" s="570"/>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69" t="s">
        <v>252</v>
      </c>
      <c r="C34" s="569"/>
      <c r="D34" s="569"/>
      <c r="E34" s="569"/>
      <c r="F34" s="569"/>
      <c r="G34" s="569"/>
      <c r="H34" s="569"/>
      <c r="I34" s="569"/>
      <c r="J34" s="569"/>
      <c r="K34" s="211"/>
      <c r="L34" s="211"/>
      <c r="M34" s="211"/>
      <c r="N34" s="211"/>
      <c r="O34" s="211"/>
      <c r="P34" s="211"/>
    </row>
    <row r="35" spans="1:16" ht="15" customHeight="1" x14ac:dyDescent="0.25">
      <c r="A35" s="201" t="s">
        <v>253</v>
      </c>
      <c r="B35" s="571" t="s">
        <v>355</v>
      </c>
      <c r="C35" s="571"/>
      <c r="D35" s="571"/>
      <c r="E35" s="571"/>
      <c r="F35" s="571"/>
      <c r="G35" s="571"/>
      <c r="H35" s="571"/>
      <c r="I35" s="571"/>
      <c r="J35" s="571"/>
      <c r="K35" s="211"/>
      <c r="L35" s="211"/>
      <c r="M35" s="211"/>
      <c r="N35" s="211"/>
      <c r="O35" s="211"/>
      <c r="P35" s="211"/>
    </row>
    <row r="36" spans="1:16" ht="15" customHeight="1" x14ac:dyDescent="0.25">
      <c r="A36" s="177" t="s">
        <v>255</v>
      </c>
      <c r="B36" s="571" t="s">
        <v>256</v>
      </c>
      <c r="C36" s="571"/>
      <c r="D36" s="571"/>
      <c r="E36" s="571"/>
      <c r="F36" s="571"/>
      <c r="G36" s="571"/>
      <c r="H36" s="571"/>
      <c r="I36" s="177"/>
      <c r="J36" s="569"/>
      <c r="K36" s="569"/>
      <c r="L36" s="569"/>
      <c r="M36" s="569"/>
      <c r="N36" s="569"/>
      <c r="O36" s="569"/>
      <c r="P36" s="569"/>
    </row>
    <row r="37" spans="1:16" ht="15" customHeight="1" x14ac:dyDescent="0.25">
      <c r="A37" s="177" t="s">
        <v>257</v>
      </c>
      <c r="B37" s="569" t="s">
        <v>260</v>
      </c>
      <c r="C37" s="569"/>
      <c r="D37" s="569"/>
      <c r="E37" s="569"/>
      <c r="F37" s="569"/>
      <c r="G37" s="569"/>
      <c r="H37" s="569"/>
      <c r="I37" s="177"/>
      <c r="J37" s="332"/>
      <c r="K37" s="332"/>
      <c r="L37" s="332"/>
      <c r="M37" s="332"/>
      <c r="N37" s="332"/>
      <c r="O37" s="332"/>
      <c r="P37" s="332"/>
    </row>
    <row r="38" spans="1:16" ht="24" customHeight="1" x14ac:dyDescent="0.25">
      <c r="A38" s="201" t="s">
        <v>259</v>
      </c>
      <c r="B38" s="571" t="s">
        <v>262</v>
      </c>
      <c r="C38" s="571"/>
      <c r="D38" s="571"/>
      <c r="E38" s="571"/>
      <c r="F38" s="571"/>
      <c r="G38" s="571"/>
      <c r="H38" s="571"/>
      <c r="I38" s="571"/>
      <c r="J38" s="571"/>
      <c r="K38" s="211"/>
      <c r="L38" s="211"/>
      <c r="M38" s="211"/>
      <c r="N38" s="211"/>
      <c r="O38" s="211"/>
      <c r="P38" s="211"/>
    </row>
    <row r="39" spans="1:16" x14ac:dyDescent="0.25">
      <c r="A39" s="201" t="s">
        <v>261</v>
      </c>
      <c r="B39" s="571" t="s">
        <v>305</v>
      </c>
      <c r="C39" s="571"/>
      <c r="D39" s="571"/>
      <c r="E39" s="571"/>
      <c r="F39" s="571"/>
      <c r="G39" s="571"/>
      <c r="H39" s="571"/>
      <c r="I39" s="571"/>
      <c r="J39" s="571"/>
      <c r="K39" s="211"/>
      <c r="L39" s="211"/>
      <c r="M39" s="211"/>
      <c r="N39" s="211"/>
      <c r="O39" s="211"/>
      <c r="P39" s="211"/>
    </row>
    <row r="41" spans="1:16" ht="87.75" customHeight="1" x14ac:dyDescent="0.25">
      <c r="A41" s="573" t="s">
        <v>163</v>
      </c>
      <c r="B41" s="573"/>
      <c r="C41" s="573"/>
      <c r="D41" s="573"/>
      <c r="E41" s="573"/>
      <c r="F41" s="573"/>
      <c r="G41" s="573"/>
      <c r="H41" s="573"/>
      <c r="I41" s="573"/>
      <c r="J41" s="573"/>
    </row>
  </sheetData>
  <mergeCells count="17">
    <mergeCell ref="B37:H37"/>
    <mergeCell ref="B38:J38"/>
    <mergeCell ref="B39:J39"/>
    <mergeCell ref="A41:J41"/>
    <mergeCell ref="B30:J30"/>
    <mergeCell ref="B31:J31"/>
    <mergeCell ref="B34:J34"/>
    <mergeCell ref="B35:J35"/>
    <mergeCell ref="B36:H36"/>
    <mergeCell ref="J36:P36"/>
    <mergeCell ref="B32:J32"/>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G8" sqref="G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16 de Diciembre de 2020; 00:00 horas</v>
      </c>
    </row>
    <row r="2" spans="1:8" ht="15.75" thickBot="1" x14ac:dyDescent="0.3">
      <c r="A2" s="180" t="s">
        <v>202</v>
      </c>
      <c r="B2" s="180"/>
    </row>
    <row r="3" spans="1:8" ht="15.75" customHeight="1" thickTop="1" x14ac:dyDescent="0.25">
      <c r="A3" s="212"/>
      <c r="B3" s="213" t="s">
        <v>353</v>
      </c>
      <c r="C3" s="574" t="s">
        <v>203</v>
      </c>
      <c r="D3" s="575"/>
      <c r="E3" s="575"/>
      <c r="F3" s="576"/>
      <c r="G3" s="580" t="s">
        <v>275</v>
      </c>
      <c r="H3" s="581"/>
    </row>
    <row r="4" spans="1:8" x14ac:dyDescent="0.25">
      <c r="A4" s="155"/>
      <c r="B4" s="314" t="s">
        <v>354</v>
      </c>
      <c r="C4" s="577"/>
      <c r="D4" s="578"/>
      <c r="E4" s="578"/>
      <c r="F4" s="579"/>
      <c r="G4" s="582"/>
      <c r="H4" s="583"/>
    </row>
    <row r="5" spans="1:8" ht="38.25" customHeight="1" x14ac:dyDescent="0.25">
      <c r="A5" s="562" t="s">
        <v>204</v>
      </c>
      <c r="B5" s="564" t="s">
        <v>205</v>
      </c>
      <c r="C5" s="566" t="s">
        <v>266</v>
      </c>
      <c r="D5" s="464" t="s">
        <v>97</v>
      </c>
      <c r="E5" s="464" t="s">
        <v>194</v>
      </c>
      <c r="F5" s="464" t="str">
        <f>+'NORTE SANTANDER'!F5</f>
        <v>Biodiesel B10</v>
      </c>
      <c r="G5" s="464" t="s">
        <v>97</v>
      </c>
      <c r="H5" s="462" t="str">
        <f>+F5</f>
        <v>Biodiesel B10</v>
      </c>
    </row>
    <row r="6" spans="1:8" x14ac:dyDescent="0.25">
      <c r="A6" s="562"/>
      <c r="B6" s="564"/>
      <c r="C6" s="567"/>
      <c r="D6" s="187">
        <v>0.08</v>
      </c>
      <c r="E6" s="205">
        <v>0.02</v>
      </c>
      <c r="F6" s="188">
        <f>+'NORTE SANTANDER'!F6</f>
        <v>0.1</v>
      </c>
      <c r="G6" s="205">
        <v>0.1</v>
      </c>
      <c r="H6" s="188">
        <f>+F6</f>
        <v>0.1</v>
      </c>
    </row>
    <row r="7" spans="1:8" x14ac:dyDescent="0.25">
      <c r="A7" s="563"/>
      <c r="B7" s="565"/>
      <c r="C7" s="463" t="s">
        <v>206</v>
      </c>
      <c r="D7" s="464" t="s">
        <v>206</v>
      </c>
      <c r="E7" s="464" t="s">
        <v>206</v>
      </c>
      <c r="F7" s="464" t="s">
        <v>206</v>
      </c>
      <c r="G7" s="463" t="s">
        <v>206</v>
      </c>
      <c r="H7" s="462" t="s">
        <v>206</v>
      </c>
    </row>
    <row r="8" spans="1:8" x14ac:dyDescent="0.25">
      <c r="A8" s="158" t="s">
        <v>207</v>
      </c>
      <c r="B8" s="164" t="s">
        <v>208</v>
      </c>
      <c r="C8" s="230">
        <f>+'Calculo IP ZDF'!B35</f>
        <v>4055.21</v>
      </c>
      <c r="D8" s="236">
        <f>+'Calculo IP ZDF'!G35</f>
        <v>4474.7190000000001</v>
      </c>
      <c r="E8" s="238">
        <f>+'Calculo IP ZDF'!F35</f>
        <v>4364.8233141999999</v>
      </c>
      <c r="F8" s="237">
        <f>+'Calculo IP ZDF'!H35</f>
        <v>5166.1444110000002</v>
      </c>
      <c r="G8" s="215">
        <f>+'GAS CTE'!D9</f>
        <v>4474.72</v>
      </c>
      <c r="H8" s="240">
        <f>+BIODIESEL!G9</f>
        <v>5266.59</v>
      </c>
    </row>
    <row r="9" spans="1:8" x14ac:dyDescent="0.25">
      <c r="A9" s="158" t="s">
        <v>209</v>
      </c>
      <c r="B9" s="164" t="s">
        <v>210</v>
      </c>
      <c r="C9" s="216" t="str">
        <f t="shared" ref="C9:C13" si="0">+D9</f>
        <v>------------------</v>
      </c>
      <c r="D9" s="190" t="s">
        <v>211</v>
      </c>
      <c r="E9" s="217" t="s">
        <v>211</v>
      </c>
      <c r="F9" s="161" t="s">
        <v>211</v>
      </c>
      <c r="G9" s="215">
        <f>+'GAS CTE'!D10</f>
        <v>491.63400000000001</v>
      </c>
      <c r="H9" s="241">
        <f>+BIODIESEL!G10</f>
        <v>470.57</v>
      </c>
    </row>
    <row r="10" spans="1:8" x14ac:dyDescent="0.25">
      <c r="A10" s="158"/>
      <c r="B10" s="164" t="s">
        <v>138</v>
      </c>
      <c r="C10" s="216" t="str">
        <f>+D10</f>
        <v>------------------</v>
      </c>
      <c r="D10" s="190" t="s">
        <v>211</v>
      </c>
      <c r="E10" s="217" t="s">
        <v>211</v>
      </c>
      <c r="F10" s="161" t="s">
        <v>211</v>
      </c>
      <c r="G10" s="231" t="str">
        <f>+COMBUSTIBLES!B12</f>
        <v>(3)</v>
      </c>
      <c r="H10" s="241" t="str">
        <f>+BIODIESEL!G11</f>
        <v>(3)</v>
      </c>
    </row>
    <row r="11" spans="1:8" x14ac:dyDescent="0.25">
      <c r="A11" s="158"/>
      <c r="B11" s="164" t="s">
        <v>140</v>
      </c>
      <c r="C11" s="216" t="str">
        <f>+GUAINIA!C11</f>
        <v>(4)</v>
      </c>
      <c r="D11" s="190" t="str">
        <f>+C11</f>
        <v>(4)</v>
      </c>
      <c r="E11" s="217" t="str">
        <f>+C11</f>
        <v>(4)</v>
      </c>
      <c r="F11" s="161" t="str">
        <f>+C11</f>
        <v>(4)</v>
      </c>
      <c r="G11" s="215" t="str">
        <f>+D11</f>
        <v>(4)</v>
      </c>
      <c r="H11" s="237" t="str">
        <f>+F11</f>
        <v>(4)</v>
      </c>
    </row>
    <row r="12" spans="1:8" ht="25.5" x14ac:dyDescent="0.25">
      <c r="A12" s="158" t="s">
        <v>212</v>
      </c>
      <c r="B12" s="164" t="s">
        <v>296</v>
      </c>
      <c r="C12" s="216" t="str">
        <f t="shared" si="0"/>
        <v>(2)</v>
      </c>
      <c r="D12" s="189" t="s">
        <v>240</v>
      </c>
      <c r="E12" s="162" t="s">
        <v>240</v>
      </c>
      <c r="F12" s="161" t="s">
        <v>240</v>
      </c>
      <c r="G12" s="215" t="str">
        <f>+F12</f>
        <v>(2)</v>
      </c>
      <c r="H12" s="240" t="s">
        <v>240</v>
      </c>
    </row>
    <row r="13" spans="1:8" x14ac:dyDescent="0.25">
      <c r="A13" s="158" t="s">
        <v>277</v>
      </c>
      <c r="B13" s="164" t="s">
        <v>278</v>
      </c>
      <c r="C13" s="216" t="str">
        <f t="shared" si="0"/>
        <v>N.A.</v>
      </c>
      <c r="D13" s="189" t="s">
        <v>279</v>
      </c>
      <c r="E13" s="217" t="s">
        <v>241</v>
      </c>
      <c r="F13" s="163" t="str">
        <f>+E13</f>
        <v>(4)</v>
      </c>
      <c r="G13" s="215" t="s">
        <v>279</v>
      </c>
      <c r="H13" s="237" t="str">
        <f>+F13</f>
        <v>(4)</v>
      </c>
    </row>
    <row r="14" spans="1:8" x14ac:dyDescent="0.25">
      <c r="A14" s="158" t="s">
        <v>214</v>
      </c>
      <c r="B14" s="164" t="s">
        <v>215</v>
      </c>
      <c r="C14" s="216">
        <f>+RUBROS!W13</f>
        <v>21.906900579364827</v>
      </c>
      <c r="D14" s="189">
        <f>+C14</f>
        <v>21.906900579364827</v>
      </c>
      <c r="E14" s="162">
        <f>+C14</f>
        <v>21.906900579364827</v>
      </c>
      <c r="F14" s="161">
        <f>+C14</f>
        <v>21.906900579364827</v>
      </c>
      <c r="G14" s="215">
        <f>+C14</f>
        <v>21.906900579364827</v>
      </c>
      <c r="H14" s="240">
        <f>+G14</f>
        <v>21.906900579364827</v>
      </c>
    </row>
    <row r="15" spans="1:8" x14ac:dyDescent="0.25">
      <c r="A15" s="158" t="s">
        <v>218</v>
      </c>
      <c r="B15" s="235" t="s">
        <v>219</v>
      </c>
      <c r="C15" s="216">
        <f>+RUBROS!AK41</f>
        <v>12.561430159485083</v>
      </c>
      <c r="D15" s="189">
        <f>+C15</f>
        <v>12.561430159485083</v>
      </c>
      <c r="E15" s="218">
        <f>+C15</f>
        <v>12.561430159485083</v>
      </c>
      <c r="F15" s="161">
        <f>+C15</f>
        <v>12.561430159485083</v>
      </c>
      <c r="G15" s="215">
        <f>+C15</f>
        <v>12.561430159485083</v>
      </c>
      <c r="H15" s="240">
        <f>+C15</f>
        <v>12.561430159485083</v>
      </c>
    </row>
    <row r="16" spans="1:8" x14ac:dyDescent="0.25">
      <c r="A16" s="158"/>
      <c r="B16" s="164" t="s">
        <v>220</v>
      </c>
      <c r="C16" s="216">
        <f>+'GAS CTE'!C16</f>
        <v>71.510000000000005</v>
      </c>
      <c r="D16" s="363">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SUM(C8:C16)</f>
        <v>4161.1883307388498</v>
      </c>
      <c r="D17" s="364">
        <f t="shared" ref="D17:H17" si="1">SUM(D8:D16)</f>
        <v>4580.6973307388498</v>
      </c>
      <c r="E17" s="222">
        <f t="shared" si="1"/>
        <v>4470.8016449388497</v>
      </c>
      <c r="F17" s="223">
        <f t="shared" si="1"/>
        <v>5272.12274173885</v>
      </c>
      <c r="G17" s="224">
        <f t="shared" si="1"/>
        <v>5072.33233073885</v>
      </c>
      <c r="H17" s="243">
        <f t="shared" si="1"/>
        <v>5843.1383307388496</v>
      </c>
    </row>
    <row r="18" spans="1:16" x14ac:dyDescent="0.25">
      <c r="A18" s="158" t="s">
        <v>223</v>
      </c>
      <c r="B18" s="164" t="s">
        <v>224</v>
      </c>
      <c r="C18" s="216" t="s">
        <v>255</v>
      </c>
      <c r="D18" s="365" t="str">
        <f>+C18</f>
        <v>***</v>
      </c>
      <c r="E18" s="225" t="str">
        <f>+C18</f>
        <v>***</v>
      </c>
      <c r="F18" s="161" t="str">
        <f>+C18</f>
        <v>***</v>
      </c>
      <c r="G18" s="218" t="str">
        <f>+H18</f>
        <v>***</v>
      </c>
      <c r="H18" s="244" t="s">
        <v>255</v>
      </c>
    </row>
    <row r="19" spans="1:16" x14ac:dyDescent="0.25">
      <c r="A19" s="158" t="s">
        <v>225</v>
      </c>
      <c r="B19" s="164" t="s">
        <v>226</v>
      </c>
      <c r="C19" s="216" t="str">
        <f>+D19</f>
        <v>**</v>
      </c>
      <c r="D19" s="195" t="s">
        <v>253</v>
      </c>
      <c r="E19" s="226" t="s">
        <v>253</v>
      </c>
      <c r="F19" s="161" t="s">
        <v>253</v>
      </c>
      <c r="G19" s="218" t="str">
        <f>+H19</f>
        <v>**</v>
      </c>
      <c r="H19" s="237" t="s">
        <v>253</v>
      </c>
    </row>
    <row r="20" spans="1:16" x14ac:dyDescent="0.25">
      <c r="A20" s="158" t="s">
        <v>227</v>
      </c>
      <c r="B20" s="164" t="s">
        <v>228</v>
      </c>
      <c r="C20" s="216" t="str">
        <f>+D20</f>
        <v>****</v>
      </c>
      <c r="D20" s="189" t="s">
        <v>257</v>
      </c>
      <c r="E20" s="162" t="str">
        <f>+D20</f>
        <v>****</v>
      </c>
      <c r="F20" s="161" t="str">
        <f>+E20</f>
        <v>****</v>
      </c>
      <c r="G20" s="218" t="str">
        <f>+F20</f>
        <v>****</v>
      </c>
      <c r="H20" s="240" t="str">
        <f>+F20</f>
        <v>****</v>
      </c>
    </row>
    <row r="21" spans="1:16" x14ac:dyDescent="0.25">
      <c r="A21" s="165" t="s">
        <v>229</v>
      </c>
      <c r="B21" s="196" t="s">
        <v>230</v>
      </c>
      <c r="C21" s="221">
        <f t="shared" ref="C21:H21" si="2">+C17</f>
        <v>4161.1883307388498</v>
      </c>
      <c r="D21" s="366">
        <f t="shared" si="2"/>
        <v>4580.6973307388498</v>
      </c>
      <c r="E21" s="221">
        <f t="shared" si="2"/>
        <v>4470.8016449388497</v>
      </c>
      <c r="F21" s="239">
        <f t="shared" si="2"/>
        <v>5272.12274173885</v>
      </c>
      <c r="G21" s="221">
        <f t="shared" si="2"/>
        <v>5072.33233073885</v>
      </c>
      <c r="H21" s="239">
        <f t="shared" si="2"/>
        <v>5843.1383307388496</v>
      </c>
    </row>
    <row r="22" spans="1:16" x14ac:dyDescent="0.25">
      <c r="A22" s="158" t="s">
        <v>231</v>
      </c>
      <c r="B22" s="164" t="s">
        <v>176</v>
      </c>
      <c r="C22" s="216" t="s">
        <v>255</v>
      </c>
      <c r="D22" s="189" t="str">
        <f>+C22</f>
        <v>***</v>
      </c>
      <c r="E22" s="162" t="str">
        <f>+D22</f>
        <v>***</v>
      </c>
      <c r="F22" s="161" t="str">
        <f>+E22</f>
        <v>***</v>
      </c>
      <c r="G22" s="218" t="str">
        <f>+H22</f>
        <v>***</v>
      </c>
      <c r="H22" s="240" t="s">
        <v>255</v>
      </c>
    </row>
    <row r="23" spans="1:16" x14ac:dyDescent="0.25">
      <c r="A23" s="158" t="s">
        <v>232</v>
      </c>
      <c r="B23" s="159" t="s">
        <v>233</v>
      </c>
      <c r="C23" s="216" t="str">
        <f>+D23</f>
        <v>*****</v>
      </c>
      <c r="D23" s="189" t="s">
        <v>259</v>
      </c>
      <c r="E23" s="162" t="s">
        <v>279</v>
      </c>
      <c r="F23" s="161" t="s">
        <v>234</v>
      </c>
      <c r="G23" s="218" t="str">
        <f>+D23</f>
        <v>*****</v>
      </c>
      <c r="H23" s="240" t="s">
        <v>280</v>
      </c>
    </row>
    <row r="24" spans="1:16" x14ac:dyDescent="0.25">
      <c r="A24" s="158" t="s">
        <v>235</v>
      </c>
      <c r="B24" s="164" t="s">
        <v>236</v>
      </c>
      <c r="C24" s="216" t="str">
        <f>+D24</f>
        <v>******</v>
      </c>
      <c r="D24" s="195"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1" t="str">
        <f>+'NORTE SANTANDER'!B29:J29</f>
        <v>De acuerdo con lo establecido en la Resolución MME 91349 de 2014</v>
      </c>
      <c r="C29" s="571"/>
      <c r="D29" s="571"/>
      <c r="E29" s="571"/>
      <c r="F29" s="571"/>
      <c r="G29" s="571"/>
      <c r="H29" s="571"/>
      <c r="I29" s="571"/>
      <c r="J29" s="571"/>
      <c r="K29" s="233"/>
      <c r="L29" s="233"/>
      <c r="M29" s="233"/>
      <c r="N29" s="233"/>
      <c r="O29" s="233"/>
      <c r="P29" s="233"/>
    </row>
    <row r="30" spans="1:16" ht="27" customHeight="1" x14ac:dyDescent="0.25">
      <c r="A30" s="177" t="s">
        <v>240</v>
      </c>
      <c r="B30" s="568" t="s">
        <v>297</v>
      </c>
      <c r="C30" s="568"/>
      <c r="D30" s="568"/>
      <c r="E30" s="568"/>
      <c r="F30" s="568"/>
      <c r="G30" s="568"/>
      <c r="H30" s="568"/>
      <c r="I30" s="568"/>
      <c r="J30" s="568"/>
      <c r="K30" s="211"/>
      <c r="L30" s="211"/>
      <c r="M30" s="211"/>
      <c r="N30" s="211"/>
      <c r="O30" s="211"/>
      <c r="P30" s="211"/>
    </row>
    <row r="31" spans="1:16" ht="65.25" customHeight="1" x14ac:dyDescent="0.25">
      <c r="A31" s="177" t="s">
        <v>139</v>
      </c>
      <c r="B31" s="571" t="s">
        <v>365</v>
      </c>
      <c r="C31" s="571"/>
      <c r="D31" s="571"/>
      <c r="E31" s="571"/>
      <c r="F31" s="571"/>
      <c r="G31" s="571"/>
      <c r="H31" s="571"/>
      <c r="I31" s="571"/>
      <c r="J31" s="571"/>
      <c r="K31" s="211"/>
      <c r="L31" s="211"/>
      <c r="M31" s="211"/>
      <c r="N31" s="211"/>
      <c r="O31" s="211"/>
      <c r="P31" s="211"/>
    </row>
    <row r="32" spans="1:16" ht="65.25" customHeight="1" x14ac:dyDescent="0.25">
      <c r="A32" s="177" t="s">
        <v>241</v>
      </c>
      <c r="B32" s="570" t="s">
        <v>445</v>
      </c>
      <c r="C32" s="570"/>
      <c r="D32" s="570"/>
      <c r="E32" s="570"/>
      <c r="F32" s="570"/>
      <c r="G32" s="570"/>
      <c r="H32" s="570"/>
      <c r="I32" s="570"/>
      <c r="J32" s="570"/>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69" t="s">
        <v>252</v>
      </c>
      <c r="C34" s="569"/>
      <c r="D34" s="569"/>
      <c r="E34" s="569"/>
      <c r="F34" s="569"/>
      <c r="G34" s="569"/>
      <c r="H34" s="569"/>
      <c r="I34" s="569"/>
      <c r="J34" s="569"/>
      <c r="K34" s="211"/>
      <c r="L34" s="211"/>
      <c r="M34" s="211"/>
      <c r="N34" s="211"/>
      <c r="O34" s="211"/>
      <c r="P34" s="211"/>
    </row>
    <row r="35" spans="1:16" ht="15" customHeight="1" x14ac:dyDescent="0.25">
      <c r="A35" s="201" t="s">
        <v>253</v>
      </c>
      <c r="B35" s="571" t="s">
        <v>355</v>
      </c>
      <c r="C35" s="571"/>
      <c r="D35" s="571"/>
      <c r="E35" s="571"/>
      <c r="F35" s="571"/>
      <c r="G35" s="571"/>
      <c r="H35" s="571"/>
      <c r="I35" s="571"/>
      <c r="J35" s="571"/>
      <c r="K35" s="211"/>
      <c r="L35" s="211"/>
      <c r="M35" s="211"/>
      <c r="N35" s="211"/>
      <c r="O35" s="211"/>
      <c r="P35" s="211"/>
    </row>
    <row r="36" spans="1:16" ht="15" customHeight="1" x14ac:dyDescent="0.25">
      <c r="A36" s="177" t="s">
        <v>255</v>
      </c>
      <c r="B36" s="571" t="s">
        <v>256</v>
      </c>
      <c r="C36" s="571"/>
      <c r="D36" s="571"/>
      <c r="E36" s="571"/>
      <c r="F36" s="571"/>
      <c r="G36" s="571"/>
      <c r="H36" s="571"/>
      <c r="I36" s="177"/>
      <c r="J36" s="569"/>
      <c r="K36" s="569"/>
      <c r="L36" s="569"/>
      <c r="M36" s="569"/>
      <c r="N36" s="569"/>
      <c r="O36" s="569"/>
      <c r="P36" s="569"/>
    </row>
    <row r="37" spans="1:16" ht="15" customHeight="1" x14ac:dyDescent="0.25">
      <c r="A37" s="177" t="s">
        <v>257</v>
      </c>
      <c r="B37" s="569" t="s">
        <v>260</v>
      </c>
      <c r="C37" s="569"/>
      <c r="D37" s="569"/>
      <c r="E37" s="569"/>
      <c r="F37" s="569"/>
      <c r="G37" s="569"/>
      <c r="H37" s="569"/>
      <c r="I37" s="177"/>
      <c r="J37" s="461"/>
      <c r="K37" s="461"/>
      <c r="L37" s="461"/>
      <c r="M37" s="461"/>
      <c r="N37" s="461"/>
      <c r="O37" s="461"/>
      <c r="P37" s="461"/>
    </row>
    <row r="38" spans="1:16" ht="24" customHeight="1" x14ac:dyDescent="0.25">
      <c r="A38" s="201" t="s">
        <v>259</v>
      </c>
      <c r="B38" s="571" t="s">
        <v>262</v>
      </c>
      <c r="C38" s="571"/>
      <c r="D38" s="571"/>
      <c r="E38" s="571"/>
      <c r="F38" s="571"/>
      <c r="G38" s="571"/>
      <c r="H38" s="571"/>
      <c r="I38" s="571"/>
      <c r="J38" s="571"/>
      <c r="K38" s="211"/>
      <c r="L38" s="211"/>
      <c r="M38" s="211"/>
      <c r="N38" s="211"/>
      <c r="O38" s="211"/>
      <c r="P38" s="211"/>
    </row>
    <row r="39" spans="1:16" x14ac:dyDescent="0.25">
      <c r="A39" s="201" t="s">
        <v>261</v>
      </c>
      <c r="B39" s="571" t="s">
        <v>305</v>
      </c>
      <c r="C39" s="571"/>
      <c r="D39" s="571"/>
      <c r="E39" s="571"/>
      <c r="F39" s="571"/>
      <c r="G39" s="571"/>
      <c r="H39" s="571"/>
      <c r="I39" s="571"/>
      <c r="J39" s="571"/>
      <c r="K39" s="211"/>
      <c r="L39" s="211"/>
      <c r="M39" s="211"/>
      <c r="N39" s="211"/>
      <c r="O39" s="211"/>
      <c r="P39" s="211"/>
    </row>
    <row r="41" spans="1:16" ht="87.75" customHeight="1" x14ac:dyDescent="0.25">
      <c r="A41" s="573" t="s">
        <v>163</v>
      </c>
      <c r="B41" s="573"/>
      <c r="C41" s="573"/>
      <c r="D41" s="573"/>
      <c r="E41" s="573"/>
      <c r="F41" s="573"/>
      <c r="G41" s="573"/>
      <c r="H41" s="573"/>
      <c r="I41" s="573"/>
      <c r="J41" s="573"/>
    </row>
  </sheetData>
  <sheetProtection password="C712"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G8" sqref="G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16 de Diciembre de 2020; 00:00 horas</v>
      </c>
    </row>
    <row r="2" spans="1:8" ht="15.75" thickBot="1" x14ac:dyDescent="0.3">
      <c r="A2" s="180" t="s">
        <v>202</v>
      </c>
      <c r="B2" s="180"/>
    </row>
    <row r="3" spans="1:8" ht="15.75" customHeight="1" thickTop="1" x14ac:dyDescent="0.25">
      <c r="A3" s="212"/>
      <c r="B3" s="213" t="s">
        <v>322</v>
      </c>
      <c r="C3" s="574" t="s">
        <v>203</v>
      </c>
      <c r="D3" s="575"/>
      <c r="E3" s="575"/>
      <c r="F3" s="576"/>
      <c r="G3" s="580" t="s">
        <v>275</v>
      </c>
      <c r="H3" s="581"/>
    </row>
    <row r="4" spans="1:8" x14ac:dyDescent="0.25">
      <c r="A4" s="155"/>
      <c r="B4" s="214" t="s">
        <v>323</v>
      </c>
      <c r="C4" s="577"/>
      <c r="D4" s="578"/>
      <c r="E4" s="578"/>
      <c r="F4" s="579"/>
      <c r="G4" s="582"/>
      <c r="H4" s="583"/>
    </row>
    <row r="5" spans="1:8" ht="38.25" customHeight="1" x14ac:dyDescent="0.25">
      <c r="A5" s="562" t="s">
        <v>204</v>
      </c>
      <c r="B5" s="564" t="s">
        <v>205</v>
      </c>
      <c r="C5" s="566" t="s">
        <v>266</v>
      </c>
      <c r="D5" s="186" t="s">
        <v>97</v>
      </c>
      <c r="E5" s="186" t="s">
        <v>194</v>
      </c>
      <c r="F5" s="186" t="str">
        <f>+'PUTUMAYO 15-17 AGO'!F5</f>
        <v>Biodiesel B10</v>
      </c>
      <c r="G5" s="186" t="s">
        <v>97</v>
      </c>
      <c r="H5" s="303" t="str">
        <f>+F5</f>
        <v>Biodiesel B10</v>
      </c>
    </row>
    <row r="6" spans="1:8" x14ac:dyDescent="0.25">
      <c r="A6" s="562"/>
      <c r="B6" s="564"/>
      <c r="C6" s="567"/>
      <c r="D6" s="187">
        <v>0.08</v>
      </c>
      <c r="E6" s="205">
        <v>0.02</v>
      </c>
      <c r="F6" s="431">
        <f>+'PUTUMAYO 15-17 AGO'!F6</f>
        <v>0.1</v>
      </c>
      <c r="G6" s="205">
        <v>0.1</v>
      </c>
      <c r="H6" s="188">
        <f>+F6</f>
        <v>0.1</v>
      </c>
    </row>
    <row r="7" spans="1:8" x14ac:dyDescent="0.25">
      <c r="A7" s="563"/>
      <c r="B7" s="565"/>
      <c r="C7" s="156" t="s">
        <v>206</v>
      </c>
      <c r="D7" s="186" t="s">
        <v>206</v>
      </c>
      <c r="E7" s="186" t="s">
        <v>206</v>
      </c>
      <c r="F7" s="186" t="s">
        <v>206</v>
      </c>
      <c r="G7" s="156" t="s">
        <v>206</v>
      </c>
      <c r="H7" s="303" t="s">
        <v>206</v>
      </c>
    </row>
    <row r="8" spans="1:8" x14ac:dyDescent="0.25">
      <c r="A8" s="158" t="s">
        <v>207</v>
      </c>
      <c r="B8" s="164" t="s">
        <v>208</v>
      </c>
      <c r="C8" s="230">
        <f>+'Calculo IP ZDF'!B36</f>
        <v>4055.21</v>
      </c>
      <c r="D8" s="236">
        <f>+'Calculo IP ZDF'!G36</f>
        <v>4474.7190000000001</v>
      </c>
      <c r="E8" s="238">
        <f>+'Calculo IP ZDF'!F36</f>
        <v>4474.1974</v>
      </c>
      <c r="F8" s="237">
        <f>+'Calculo IP ZDF'!H36</f>
        <v>5266.59</v>
      </c>
      <c r="G8" s="215">
        <f>+'GAS CTE'!D9</f>
        <v>4474.72</v>
      </c>
      <c r="H8" s="240">
        <f>+BIODIESEL!G9</f>
        <v>5266.59</v>
      </c>
    </row>
    <row r="9" spans="1:8" x14ac:dyDescent="0.25">
      <c r="A9" s="158" t="s">
        <v>209</v>
      </c>
      <c r="B9" s="164" t="s">
        <v>210</v>
      </c>
      <c r="C9" s="216" t="str">
        <f t="shared" ref="C9:C12"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t="str">
        <f>+'PUTUMAYO 15-17 AGO'!C11</f>
        <v>(4)</v>
      </c>
      <c r="D11" s="217" t="str">
        <f>+C11</f>
        <v>(4)</v>
      </c>
      <c r="E11" s="217" t="str">
        <f>+C11</f>
        <v>(4)</v>
      </c>
      <c r="F11" s="161" t="str">
        <f>+C11</f>
        <v>(4)</v>
      </c>
      <c r="G11" s="215" t="str">
        <f>+C11</f>
        <v>(4)</v>
      </c>
      <c r="H11" s="237" t="str">
        <f>+C11</f>
        <v>(4)</v>
      </c>
    </row>
    <row r="12" spans="1:8" x14ac:dyDescent="0.25">
      <c r="A12" s="158" t="s">
        <v>212</v>
      </c>
      <c r="B12" s="164" t="s">
        <v>320</v>
      </c>
      <c r="C12" s="216" t="str">
        <f t="shared" si="0"/>
        <v>(2)</v>
      </c>
      <c r="D12" s="162" t="s">
        <v>240</v>
      </c>
      <c r="E12" s="162" t="s">
        <v>240</v>
      </c>
      <c r="F12" s="161" t="s">
        <v>240</v>
      </c>
      <c r="G12" s="215" t="str">
        <f>+F12</f>
        <v>(2)</v>
      </c>
      <c r="H12" s="240" t="s">
        <v>240</v>
      </c>
    </row>
    <row r="13" spans="1:8" x14ac:dyDescent="0.25">
      <c r="A13" s="158" t="s">
        <v>214</v>
      </c>
      <c r="B13" s="164" t="s">
        <v>215</v>
      </c>
      <c r="C13" s="216">
        <f>+'PUTUMAYO 15-17 AGO'!C14</f>
        <v>21.906900579364827</v>
      </c>
      <c r="D13" s="162">
        <f>+C13</f>
        <v>21.906900579364827</v>
      </c>
      <c r="E13" s="162">
        <f>+D13</f>
        <v>21.906900579364827</v>
      </c>
      <c r="F13" s="161">
        <f>+E13</f>
        <v>21.906900579364827</v>
      </c>
      <c r="G13" s="215">
        <f>+C13</f>
        <v>21.906900579364827</v>
      </c>
      <c r="H13" s="240">
        <f>+G13</f>
        <v>21.906900579364827</v>
      </c>
    </row>
    <row r="14" spans="1:8" x14ac:dyDescent="0.25">
      <c r="A14" s="158" t="s">
        <v>218</v>
      </c>
      <c r="B14" s="235" t="s">
        <v>219</v>
      </c>
      <c r="C14" s="216">
        <f>+'PUTUMAYO 15-17 AGO'!C15</f>
        <v>12.561430159485083</v>
      </c>
      <c r="D14" s="162">
        <f>+C14</f>
        <v>12.561430159485083</v>
      </c>
      <c r="E14" s="218">
        <f>+C14</f>
        <v>12.561430159485083</v>
      </c>
      <c r="F14" s="161">
        <f>+C14</f>
        <v>12.561430159485083</v>
      </c>
      <c r="G14" s="215">
        <f>+C14</f>
        <v>12.561430159485083</v>
      </c>
      <c r="H14" s="240">
        <f>+C14</f>
        <v>12.561430159485083</v>
      </c>
    </row>
    <row r="15" spans="1:8" x14ac:dyDescent="0.25">
      <c r="A15" s="158"/>
      <c r="B15" s="164" t="s">
        <v>220</v>
      </c>
      <c r="C15" s="216">
        <f>+'GAS CTE'!C16</f>
        <v>71.510000000000005</v>
      </c>
      <c r="D15" s="219">
        <f>+C15</f>
        <v>71.510000000000005</v>
      </c>
      <c r="E15" s="220">
        <f>+C15</f>
        <v>71.510000000000005</v>
      </c>
      <c r="F15" s="161">
        <f>+C15</f>
        <v>71.510000000000005</v>
      </c>
      <c r="G15" s="215">
        <f>+C15</f>
        <v>71.510000000000005</v>
      </c>
      <c r="H15" s="242">
        <f>+C15</f>
        <v>71.510000000000005</v>
      </c>
    </row>
    <row r="16" spans="1:8" x14ac:dyDescent="0.25">
      <c r="A16" s="165" t="s">
        <v>221</v>
      </c>
      <c r="B16" s="196" t="s">
        <v>222</v>
      </c>
      <c r="C16" s="221">
        <f>SUM(C8:C15)</f>
        <v>4161.1883307388498</v>
      </c>
      <c r="D16" s="222">
        <f t="shared" ref="D16:H16" si="1">SUM(D8:D15)</f>
        <v>4580.6973307388498</v>
      </c>
      <c r="E16" s="222">
        <f t="shared" si="1"/>
        <v>4580.1757307388498</v>
      </c>
      <c r="F16" s="223">
        <f t="shared" si="1"/>
        <v>5372.5683307388499</v>
      </c>
      <c r="G16" s="224">
        <f t="shared" si="1"/>
        <v>5072.33233073885</v>
      </c>
      <c r="H16" s="243">
        <f t="shared" si="1"/>
        <v>5843.1383307388496</v>
      </c>
    </row>
    <row r="17" spans="1:16" x14ac:dyDescent="0.25">
      <c r="A17" s="158" t="s">
        <v>223</v>
      </c>
      <c r="B17" s="164" t="s">
        <v>224</v>
      </c>
      <c r="C17" s="216" t="s">
        <v>255</v>
      </c>
      <c r="D17" s="225" t="str">
        <f>+C17</f>
        <v>***</v>
      </c>
      <c r="E17" s="225" t="str">
        <f>+C17</f>
        <v>***</v>
      </c>
      <c r="F17" s="161" t="str">
        <f>+C17</f>
        <v>***</v>
      </c>
      <c r="G17" s="218" t="str">
        <f>+H17</f>
        <v>***</v>
      </c>
      <c r="H17" s="244" t="s">
        <v>255</v>
      </c>
    </row>
    <row r="18" spans="1:16" x14ac:dyDescent="0.25">
      <c r="A18" s="158" t="s">
        <v>225</v>
      </c>
      <c r="B18" s="164" t="s">
        <v>226</v>
      </c>
      <c r="C18" s="216" t="str">
        <f>+D18</f>
        <v>**</v>
      </c>
      <c r="D18" s="226" t="s">
        <v>253</v>
      </c>
      <c r="E18" s="226" t="s">
        <v>253</v>
      </c>
      <c r="F18" s="161" t="s">
        <v>253</v>
      </c>
      <c r="G18" s="218" t="str">
        <f>+H18</f>
        <v>**</v>
      </c>
      <c r="H18" s="237" t="s">
        <v>253</v>
      </c>
    </row>
    <row r="19" spans="1:16" x14ac:dyDescent="0.25">
      <c r="A19" s="158" t="s">
        <v>227</v>
      </c>
      <c r="B19" s="164" t="s">
        <v>228</v>
      </c>
      <c r="C19" s="216" t="str">
        <f>+D19</f>
        <v>****</v>
      </c>
      <c r="D19" s="162" t="s">
        <v>257</v>
      </c>
      <c r="E19" s="162" t="str">
        <f>+D19</f>
        <v>****</v>
      </c>
      <c r="F19" s="161" t="str">
        <f>+E19</f>
        <v>****</v>
      </c>
      <c r="G19" s="218" t="str">
        <f>+F19</f>
        <v>****</v>
      </c>
      <c r="H19" s="240" t="str">
        <f>+F19</f>
        <v>****</v>
      </c>
    </row>
    <row r="20" spans="1:16" x14ac:dyDescent="0.25">
      <c r="A20" s="165" t="s">
        <v>229</v>
      </c>
      <c r="B20" s="196" t="s">
        <v>230</v>
      </c>
      <c r="C20" s="221">
        <f t="shared" ref="C20:H20" si="2">+C16</f>
        <v>4161.1883307388498</v>
      </c>
      <c r="D20" s="221">
        <f t="shared" si="2"/>
        <v>4580.6973307388498</v>
      </c>
      <c r="E20" s="221">
        <f t="shared" si="2"/>
        <v>4580.1757307388498</v>
      </c>
      <c r="F20" s="239">
        <f t="shared" si="2"/>
        <v>5372.5683307388499</v>
      </c>
      <c r="G20" s="221">
        <f t="shared" si="2"/>
        <v>5072.33233073885</v>
      </c>
      <c r="H20" s="239">
        <f t="shared" si="2"/>
        <v>5843.1383307388496</v>
      </c>
    </row>
    <row r="21" spans="1:16" x14ac:dyDescent="0.25">
      <c r="A21" s="158" t="s">
        <v>231</v>
      </c>
      <c r="B21" s="164" t="s">
        <v>176</v>
      </c>
      <c r="C21" s="216" t="s">
        <v>255</v>
      </c>
      <c r="D21" s="162" t="str">
        <f>+C21</f>
        <v>***</v>
      </c>
      <c r="E21" s="162" t="str">
        <f>+D21</f>
        <v>***</v>
      </c>
      <c r="F21" s="161" t="str">
        <f>+E21</f>
        <v>***</v>
      </c>
      <c r="G21" s="218" t="str">
        <f>+H21</f>
        <v>***</v>
      </c>
      <c r="H21" s="240" t="s">
        <v>255</v>
      </c>
    </row>
    <row r="22" spans="1:16" x14ac:dyDescent="0.25">
      <c r="A22" s="158" t="s">
        <v>232</v>
      </c>
      <c r="B22" s="159" t="s">
        <v>233</v>
      </c>
      <c r="C22" s="216" t="str">
        <f>+D22</f>
        <v>*****</v>
      </c>
      <c r="D22" s="162" t="s">
        <v>259</v>
      </c>
      <c r="E22" s="162" t="s">
        <v>279</v>
      </c>
      <c r="F22" s="161" t="s">
        <v>234</v>
      </c>
      <c r="G22" s="218" t="str">
        <f>+D22</f>
        <v>*****</v>
      </c>
      <c r="H22" s="240" t="s">
        <v>280</v>
      </c>
    </row>
    <row r="23" spans="1:16" x14ac:dyDescent="0.25">
      <c r="A23" s="158" t="s">
        <v>235</v>
      </c>
      <c r="B23" s="164" t="s">
        <v>325</v>
      </c>
      <c r="C23" s="216" t="str">
        <f>+D23</f>
        <v>******</v>
      </c>
      <c r="D23" s="226" t="s">
        <v>261</v>
      </c>
      <c r="E23" s="226" t="str">
        <f>+D23</f>
        <v>******</v>
      </c>
      <c r="F23" s="163" t="str">
        <f>+E23</f>
        <v>******</v>
      </c>
      <c r="G23" s="218" t="str">
        <f>+F23</f>
        <v>******</v>
      </c>
      <c r="H23" s="237" t="str">
        <f>+G23</f>
        <v>******</v>
      </c>
    </row>
    <row r="24" spans="1:16" ht="15.75" thickBot="1" x14ac:dyDescent="0.3">
      <c r="A24" s="169" t="s">
        <v>237</v>
      </c>
      <c r="B24" s="170" t="s">
        <v>238</v>
      </c>
      <c r="C24" s="227"/>
      <c r="D24" s="173"/>
      <c r="E24" s="228"/>
      <c r="F24" s="172"/>
      <c r="G24" s="228"/>
      <c r="H24" s="245"/>
    </row>
    <row r="25" spans="1:16" ht="15.75" thickTop="1" x14ac:dyDescent="0.25"/>
    <row r="26" spans="1:16" x14ac:dyDescent="0.25">
      <c r="A26" s="177"/>
      <c r="B26" s="292" t="s">
        <v>251</v>
      </c>
      <c r="C26" s="232"/>
      <c r="D26" s="232"/>
      <c r="E26" s="232"/>
      <c r="F26" s="232"/>
      <c r="G26" s="211"/>
      <c r="H26" s="211"/>
      <c r="I26" s="211"/>
      <c r="J26" s="211"/>
      <c r="K26" s="211"/>
      <c r="L26" s="211"/>
      <c r="M26" s="211"/>
      <c r="N26" s="211"/>
      <c r="O26" s="211"/>
      <c r="P26" s="211"/>
    </row>
    <row r="27" spans="1:16" x14ac:dyDescent="0.25">
      <c r="A27" s="177"/>
      <c r="B27" s="200"/>
      <c r="C27" s="232"/>
      <c r="D27" s="232"/>
      <c r="E27" s="232"/>
      <c r="F27" s="232"/>
      <c r="G27" s="211"/>
      <c r="H27" s="211"/>
      <c r="I27" s="211"/>
      <c r="J27" s="211"/>
      <c r="K27" s="211"/>
      <c r="L27" s="211"/>
      <c r="M27" s="211"/>
      <c r="N27" s="211"/>
      <c r="O27" s="211"/>
      <c r="P27" s="211"/>
    </row>
    <row r="28" spans="1:16" ht="15" customHeight="1" x14ac:dyDescent="0.25">
      <c r="A28" s="177" t="s">
        <v>213</v>
      </c>
      <c r="B28" s="571" t="str">
        <f>+'PUTUMAYO 15-17 AGO'!B29</f>
        <v>De acuerdo con lo establecido en la Resolución MME 91349 de 2014</v>
      </c>
      <c r="C28" s="571"/>
      <c r="D28" s="571"/>
      <c r="E28" s="571"/>
      <c r="F28" s="571"/>
      <c r="G28" s="571"/>
      <c r="H28" s="571"/>
      <c r="I28" s="571"/>
      <c r="J28" s="571"/>
      <c r="K28" s="233"/>
      <c r="L28" s="233"/>
      <c r="M28" s="233"/>
      <c r="N28" s="233"/>
      <c r="O28" s="233"/>
      <c r="P28" s="233"/>
    </row>
    <row r="29" spans="1:16" ht="26.25" customHeight="1" x14ac:dyDescent="0.25">
      <c r="A29" s="177" t="s">
        <v>240</v>
      </c>
      <c r="B29" s="568" t="s">
        <v>297</v>
      </c>
      <c r="C29" s="568"/>
      <c r="D29" s="568"/>
      <c r="E29" s="568"/>
      <c r="F29" s="568"/>
      <c r="G29" s="568"/>
      <c r="H29" s="568"/>
      <c r="I29" s="568"/>
      <c r="J29" s="568"/>
      <c r="K29" s="211"/>
      <c r="L29" s="211"/>
      <c r="M29" s="211"/>
      <c r="N29" s="211"/>
      <c r="O29" s="211"/>
      <c r="P29" s="211"/>
    </row>
    <row r="30" spans="1:16" ht="54.75" customHeight="1" x14ac:dyDescent="0.25">
      <c r="A30" s="177" t="s">
        <v>139</v>
      </c>
      <c r="B30" s="571" t="s">
        <v>365</v>
      </c>
      <c r="C30" s="571"/>
      <c r="D30" s="571"/>
      <c r="E30" s="571"/>
      <c r="F30" s="571"/>
      <c r="G30" s="571"/>
      <c r="H30" s="571"/>
      <c r="I30" s="571"/>
      <c r="J30" s="571"/>
      <c r="K30" s="211"/>
      <c r="L30" s="211"/>
      <c r="M30" s="211"/>
      <c r="N30" s="211"/>
      <c r="O30" s="211"/>
      <c r="P30" s="211"/>
    </row>
    <row r="31" spans="1:16" ht="54.75" customHeight="1" x14ac:dyDescent="0.25">
      <c r="A31" s="177" t="s">
        <v>241</v>
      </c>
      <c r="B31" s="570" t="s">
        <v>445</v>
      </c>
      <c r="C31" s="570"/>
      <c r="D31" s="570"/>
      <c r="E31" s="570"/>
      <c r="F31" s="570"/>
      <c r="G31" s="570"/>
      <c r="H31" s="570"/>
      <c r="I31" s="570"/>
      <c r="J31" s="570"/>
      <c r="K31" s="211"/>
      <c r="L31" s="211"/>
      <c r="M31" s="211"/>
      <c r="N31" s="211"/>
      <c r="O31" s="211"/>
      <c r="P31" s="211"/>
    </row>
    <row r="32" spans="1:16" ht="54.75" customHeight="1" x14ac:dyDescent="0.25">
      <c r="A32" s="177"/>
      <c r="B32" s="440"/>
      <c r="C32" s="440"/>
      <c r="D32" s="440"/>
      <c r="E32" s="440"/>
      <c r="F32" s="440"/>
      <c r="G32" s="440"/>
      <c r="H32" s="440"/>
      <c r="I32" s="440"/>
      <c r="J32" s="440"/>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69" t="s">
        <v>252</v>
      </c>
      <c r="C34" s="569"/>
      <c r="D34" s="569"/>
      <c r="E34" s="569"/>
      <c r="F34" s="569"/>
      <c r="G34" s="569"/>
      <c r="H34" s="569"/>
      <c r="I34" s="569"/>
      <c r="J34" s="569"/>
      <c r="K34" s="211"/>
      <c r="L34" s="211"/>
      <c r="M34" s="211"/>
      <c r="N34" s="211"/>
      <c r="O34" s="211"/>
      <c r="P34" s="211"/>
    </row>
    <row r="35" spans="1:16" ht="15" customHeight="1" x14ac:dyDescent="0.25">
      <c r="A35" s="201" t="s">
        <v>253</v>
      </c>
      <c r="B35" s="571" t="s">
        <v>324</v>
      </c>
      <c r="C35" s="571"/>
      <c r="D35" s="571"/>
      <c r="E35" s="571"/>
      <c r="F35" s="571"/>
      <c r="G35" s="571"/>
      <c r="H35" s="571"/>
      <c r="I35" s="571"/>
      <c r="J35" s="571"/>
      <c r="K35" s="211"/>
      <c r="L35" s="211"/>
      <c r="M35" s="211"/>
      <c r="N35" s="211"/>
      <c r="O35" s="211"/>
      <c r="P35" s="211"/>
    </row>
    <row r="36" spans="1:16" ht="15" customHeight="1" x14ac:dyDescent="0.25">
      <c r="A36" s="177" t="s">
        <v>255</v>
      </c>
      <c r="B36" s="571" t="s">
        <v>256</v>
      </c>
      <c r="C36" s="571"/>
      <c r="D36" s="571"/>
      <c r="E36" s="571"/>
      <c r="F36" s="571"/>
      <c r="G36" s="571"/>
      <c r="H36" s="571"/>
      <c r="I36" s="177"/>
      <c r="J36" s="569"/>
      <c r="K36" s="569"/>
      <c r="L36" s="569"/>
      <c r="M36" s="569"/>
      <c r="N36" s="569"/>
      <c r="O36" s="569"/>
      <c r="P36" s="569"/>
    </row>
    <row r="37" spans="1:16" ht="15" customHeight="1" x14ac:dyDescent="0.25">
      <c r="A37" s="177" t="s">
        <v>257</v>
      </c>
      <c r="B37" s="569" t="s">
        <v>260</v>
      </c>
      <c r="C37" s="569"/>
      <c r="D37" s="569"/>
      <c r="E37" s="569"/>
      <c r="F37" s="569"/>
      <c r="G37" s="569"/>
      <c r="H37" s="569"/>
      <c r="I37" s="177"/>
      <c r="J37" s="301"/>
      <c r="K37" s="301"/>
      <c r="L37" s="301"/>
      <c r="M37" s="301"/>
      <c r="N37" s="301"/>
      <c r="O37" s="301"/>
      <c r="P37" s="301"/>
    </row>
    <row r="38" spans="1:16" x14ac:dyDescent="0.25">
      <c r="A38" s="201" t="s">
        <v>259</v>
      </c>
      <c r="B38" s="571" t="s">
        <v>262</v>
      </c>
      <c r="C38" s="571"/>
      <c r="D38" s="571"/>
      <c r="E38" s="571"/>
      <c r="F38" s="571"/>
      <c r="G38" s="571"/>
      <c r="H38" s="571"/>
      <c r="I38" s="571"/>
      <c r="J38" s="571"/>
      <c r="K38" s="211"/>
      <c r="L38" s="211"/>
      <c r="M38" s="211"/>
      <c r="N38" s="211"/>
      <c r="O38" s="211"/>
      <c r="P38" s="211"/>
    </row>
    <row r="39" spans="1:16" x14ac:dyDescent="0.25">
      <c r="A39" s="201" t="s">
        <v>261</v>
      </c>
      <c r="B39" s="571" t="s">
        <v>326</v>
      </c>
      <c r="C39" s="571"/>
      <c r="D39" s="571"/>
      <c r="E39" s="571"/>
      <c r="F39" s="571"/>
      <c r="G39" s="571"/>
      <c r="H39" s="571"/>
      <c r="I39" s="571"/>
      <c r="J39" s="571"/>
      <c r="K39" s="211"/>
      <c r="L39" s="211"/>
      <c r="M39" s="211"/>
      <c r="N39" s="211"/>
      <c r="O39" s="211"/>
      <c r="P39" s="211"/>
    </row>
    <row r="41" spans="1:16" ht="87.75" customHeight="1" x14ac:dyDescent="0.25">
      <c r="A41" s="573" t="s">
        <v>163</v>
      </c>
      <c r="B41" s="573"/>
      <c r="C41" s="573"/>
      <c r="D41" s="573"/>
      <c r="E41" s="573"/>
      <c r="F41" s="573"/>
      <c r="G41" s="573"/>
      <c r="H41" s="573"/>
      <c r="I41" s="573"/>
      <c r="J41" s="573"/>
    </row>
  </sheetData>
  <sheetProtection password="C712" sheet="1" objects="1" scenarios="1"/>
  <mergeCells count="17">
    <mergeCell ref="B28:J28"/>
    <mergeCell ref="C3:F4"/>
    <mergeCell ref="G3:H4"/>
    <mergeCell ref="A5:A7"/>
    <mergeCell ref="B5:B7"/>
    <mergeCell ref="C5:C6"/>
    <mergeCell ref="B37:H37"/>
    <mergeCell ref="B38:J38"/>
    <mergeCell ref="B39:J39"/>
    <mergeCell ref="A41:J41"/>
    <mergeCell ref="B29:J29"/>
    <mergeCell ref="B30:J30"/>
    <mergeCell ref="B34:J34"/>
    <mergeCell ref="B35:J35"/>
    <mergeCell ref="B36:H36"/>
    <mergeCell ref="J36:P36"/>
    <mergeCell ref="B31:J31"/>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G8" sqref="G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16 de Diciembre de 2020; 00:00 horas</v>
      </c>
    </row>
    <row r="2" spans="1:8" ht="15.75" thickBot="1" x14ac:dyDescent="0.3">
      <c r="A2" s="180" t="s">
        <v>202</v>
      </c>
      <c r="B2" s="180"/>
    </row>
    <row r="3" spans="1:8" ht="15.75" customHeight="1" thickTop="1" x14ac:dyDescent="0.25">
      <c r="A3" s="212"/>
      <c r="B3" s="213" t="s">
        <v>368</v>
      </c>
      <c r="C3" s="574" t="s">
        <v>203</v>
      </c>
      <c r="D3" s="575"/>
      <c r="E3" s="575"/>
      <c r="F3" s="576"/>
      <c r="G3" s="580" t="s">
        <v>275</v>
      </c>
      <c r="H3" s="581"/>
    </row>
    <row r="4" spans="1:8" x14ac:dyDescent="0.25">
      <c r="A4" s="155"/>
      <c r="B4" s="214" t="s">
        <v>367</v>
      </c>
      <c r="C4" s="577"/>
      <c r="D4" s="578"/>
      <c r="E4" s="578"/>
      <c r="F4" s="579"/>
      <c r="G4" s="582"/>
      <c r="H4" s="583"/>
    </row>
    <row r="5" spans="1:8" ht="38.25" customHeight="1" x14ac:dyDescent="0.25">
      <c r="A5" s="562" t="s">
        <v>204</v>
      </c>
      <c r="B5" s="564" t="s">
        <v>205</v>
      </c>
      <c r="C5" s="566" t="s">
        <v>266</v>
      </c>
      <c r="D5" s="372" t="s">
        <v>97</v>
      </c>
      <c r="E5" s="372" t="s">
        <v>194</v>
      </c>
      <c r="F5" s="372" t="str">
        <f>+VAUPES!F5</f>
        <v>Biodiesel B10</v>
      </c>
      <c r="G5" s="372" t="s">
        <v>97</v>
      </c>
      <c r="H5" s="370" t="str">
        <f>+F5</f>
        <v>Biodiesel B10</v>
      </c>
    </row>
    <row r="6" spans="1:8" x14ac:dyDescent="0.25">
      <c r="A6" s="562"/>
      <c r="B6" s="564"/>
      <c r="C6" s="567"/>
      <c r="D6" s="187">
        <v>0.08</v>
      </c>
      <c r="E6" s="205">
        <v>0.02</v>
      </c>
      <c r="F6" s="431">
        <f>+VAUPES!F6</f>
        <v>0.1</v>
      </c>
      <c r="G6" s="205">
        <v>0.1</v>
      </c>
      <c r="H6" s="188">
        <f>+F6</f>
        <v>0.1</v>
      </c>
    </row>
    <row r="7" spans="1:8" x14ac:dyDescent="0.25">
      <c r="A7" s="563"/>
      <c r="B7" s="565"/>
      <c r="C7" s="371" t="s">
        <v>206</v>
      </c>
      <c r="D7" s="372" t="s">
        <v>206</v>
      </c>
      <c r="E7" s="372" t="s">
        <v>206</v>
      </c>
      <c r="F7" s="372" t="s">
        <v>206</v>
      </c>
      <c r="G7" s="371" t="s">
        <v>206</v>
      </c>
      <c r="H7" s="370" t="s">
        <v>206</v>
      </c>
    </row>
    <row r="8" spans="1:8" x14ac:dyDescent="0.25">
      <c r="A8" s="158" t="s">
        <v>207</v>
      </c>
      <c r="B8" s="164" t="s">
        <v>208</v>
      </c>
      <c r="C8" s="230">
        <f>+'Calculo IP ZDF'!B37</f>
        <v>3897.05681</v>
      </c>
      <c r="D8" s="236">
        <f>+'Calculo IP ZDF'!G37</f>
        <v>4332.3811290000003</v>
      </c>
      <c r="E8" s="238">
        <f>+'Calculo IP ZDF'!F37</f>
        <v>4017.4243980000001</v>
      </c>
      <c r="F8" s="237">
        <f>+'Calculo IP ZDF'!H37</f>
        <v>4847.1045900000008</v>
      </c>
      <c r="G8" s="215">
        <f>+'GAS CTE'!D9</f>
        <v>4474.72</v>
      </c>
      <c r="H8" s="240">
        <f>+BIODIESEL!G9</f>
        <v>5266.59</v>
      </c>
    </row>
    <row r="9" spans="1:8" x14ac:dyDescent="0.25">
      <c r="A9" s="158" t="s">
        <v>209</v>
      </c>
      <c r="B9" s="164" t="s">
        <v>210</v>
      </c>
      <c r="C9" s="216" t="str">
        <f t="shared" ref="C9:C12"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t="str">
        <f>+VAUPES!C11</f>
        <v>(4)</v>
      </c>
      <c r="D11" s="217" t="str">
        <f>+C11</f>
        <v>(4)</v>
      </c>
      <c r="E11" s="217" t="str">
        <f>+C11</f>
        <v>(4)</v>
      </c>
      <c r="F11" s="161" t="str">
        <f>+C11</f>
        <v>(4)</v>
      </c>
      <c r="G11" s="215" t="str">
        <f>+C11</f>
        <v>(4)</v>
      </c>
      <c r="H11" s="237" t="str">
        <f>+C11</f>
        <v>(4)</v>
      </c>
    </row>
    <row r="12" spans="1:8" x14ac:dyDescent="0.25">
      <c r="A12" s="158" t="s">
        <v>212</v>
      </c>
      <c r="B12" s="164" t="s">
        <v>320</v>
      </c>
      <c r="C12" s="216" t="str">
        <f t="shared" si="0"/>
        <v>(2)</v>
      </c>
      <c r="D12" s="162" t="s">
        <v>240</v>
      </c>
      <c r="E12" s="162" t="s">
        <v>240</v>
      </c>
      <c r="F12" s="161" t="s">
        <v>240</v>
      </c>
      <c r="G12" s="215" t="str">
        <f>+F12</f>
        <v>(2)</v>
      </c>
      <c r="H12" s="240" t="s">
        <v>240</v>
      </c>
    </row>
    <row r="13" spans="1:8" x14ac:dyDescent="0.25">
      <c r="A13" s="158" t="s">
        <v>214</v>
      </c>
      <c r="B13" s="164" t="s">
        <v>215</v>
      </c>
      <c r="C13" s="216">
        <f>+RUBROS!W20</f>
        <v>10.13543305493382</v>
      </c>
      <c r="D13" s="162">
        <f>+C13</f>
        <v>10.13543305493382</v>
      </c>
      <c r="E13" s="162">
        <f>+D13</f>
        <v>10.13543305493382</v>
      </c>
      <c r="F13" s="161">
        <f>+E13</f>
        <v>10.13543305493382</v>
      </c>
      <c r="G13" s="215">
        <f>+RUBROS!X20</f>
        <v>21.906900579364827</v>
      </c>
      <c r="H13" s="240">
        <f>+G13</f>
        <v>21.906900579364827</v>
      </c>
    </row>
    <row r="14" spans="1:8" x14ac:dyDescent="0.25">
      <c r="A14" s="158" t="s">
        <v>218</v>
      </c>
      <c r="B14" s="235" t="s">
        <v>219</v>
      </c>
      <c r="C14" s="216">
        <f>+RUBROS!AK31</f>
        <v>12.561430159485083</v>
      </c>
      <c r="D14" s="162">
        <f>+C14</f>
        <v>12.561430159485083</v>
      </c>
      <c r="E14" s="218">
        <f>+C14</f>
        <v>12.561430159485083</v>
      </c>
      <c r="F14" s="161">
        <f>+C14</f>
        <v>12.561430159485083</v>
      </c>
      <c r="G14" s="215">
        <f>+C14</f>
        <v>12.561430159485083</v>
      </c>
      <c r="H14" s="240">
        <f>+C14</f>
        <v>12.561430159485083</v>
      </c>
    </row>
    <row r="15" spans="1:8" x14ac:dyDescent="0.25">
      <c r="A15" s="158"/>
      <c r="B15" s="164" t="s">
        <v>220</v>
      </c>
      <c r="C15" s="216">
        <f>+'GAS CTE'!C16</f>
        <v>71.510000000000005</v>
      </c>
      <c r="D15" s="219">
        <f>+C15</f>
        <v>71.510000000000005</v>
      </c>
      <c r="E15" s="220">
        <f>+C15</f>
        <v>71.510000000000005</v>
      </c>
      <c r="F15" s="161">
        <f>+C15</f>
        <v>71.510000000000005</v>
      </c>
      <c r="G15" s="215">
        <f>+C15</f>
        <v>71.510000000000005</v>
      </c>
      <c r="H15" s="242">
        <f>+C15</f>
        <v>71.510000000000005</v>
      </c>
    </row>
    <row r="16" spans="1:8" x14ac:dyDescent="0.25">
      <c r="A16" s="165" t="s">
        <v>221</v>
      </c>
      <c r="B16" s="196" t="s">
        <v>222</v>
      </c>
      <c r="C16" s="221">
        <f>SUM(C8:C15)</f>
        <v>3991.2636732144192</v>
      </c>
      <c r="D16" s="222">
        <f t="shared" ref="D16:H16" si="1">SUM(D8:D15)</f>
        <v>4426.5879922144195</v>
      </c>
      <c r="E16" s="222">
        <f t="shared" si="1"/>
        <v>4111.6312612144193</v>
      </c>
      <c r="F16" s="223">
        <f t="shared" si="1"/>
        <v>4941.31145321442</v>
      </c>
      <c r="G16" s="224">
        <f t="shared" si="1"/>
        <v>5072.33233073885</v>
      </c>
      <c r="H16" s="243">
        <f t="shared" si="1"/>
        <v>5843.1383307388496</v>
      </c>
    </row>
    <row r="17" spans="1:8" x14ac:dyDescent="0.25">
      <c r="A17" s="158" t="s">
        <v>223</v>
      </c>
      <c r="B17" s="164" t="s">
        <v>224</v>
      </c>
      <c r="C17" s="216" t="s">
        <v>255</v>
      </c>
      <c r="D17" s="225" t="str">
        <f>+C17</f>
        <v>***</v>
      </c>
      <c r="E17" s="225" t="str">
        <f>+C17</f>
        <v>***</v>
      </c>
      <c r="F17" s="161" t="str">
        <f>+C17</f>
        <v>***</v>
      </c>
      <c r="G17" s="218" t="str">
        <f>+H17</f>
        <v>***</v>
      </c>
      <c r="H17" s="244" t="s">
        <v>255</v>
      </c>
    </row>
    <row r="18" spans="1:8" x14ac:dyDescent="0.25">
      <c r="A18" s="158" t="s">
        <v>225</v>
      </c>
      <c r="B18" s="164" t="s">
        <v>226</v>
      </c>
      <c r="C18" s="216" t="str">
        <f>+D18</f>
        <v>**</v>
      </c>
      <c r="D18" s="226" t="s">
        <v>253</v>
      </c>
      <c r="E18" s="226" t="s">
        <v>253</v>
      </c>
      <c r="F18" s="161" t="s">
        <v>253</v>
      </c>
      <c r="G18" s="218" t="str">
        <f>+H18</f>
        <v>**</v>
      </c>
      <c r="H18" s="237" t="s">
        <v>253</v>
      </c>
    </row>
    <row r="19" spans="1:8" x14ac:dyDescent="0.25">
      <c r="A19" s="158" t="s">
        <v>227</v>
      </c>
      <c r="B19" s="164" t="s">
        <v>228</v>
      </c>
      <c r="C19" s="216" t="str">
        <f>+D19</f>
        <v>****</v>
      </c>
      <c r="D19" s="162" t="s">
        <v>257</v>
      </c>
      <c r="E19" s="162" t="str">
        <f>+D19</f>
        <v>****</v>
      </c>
      <c r="F19" s="161" t="str">
        <f>+E19</f>
        <v>****</v>
      </c>
      <c r="G19" s="218" t="str">
        <f>+F19</f>
        <v>****</v>
      </c>
      <c r="H19" s="240" t="str">
        <f>+F19</f>
        <v>****</v>
      </c>
    </row>
    <row r="20" spans="1:8" x14ac:dyDescent="0.25">
      <c r="A20" s="165" t="s">
        <v>229</v>
      </c>
      <c r="B20" s="196" t="s">
        <v>230</v>
      </c>
      <c r="C20" s="221">
        <f t="shared" ref="C20:H20" si="2">+C16</f>
        <v>3991.2636732144192</v>
      </c>
      <c r="D20" s="221">
        <f t="shared" si="2"/>
        <v>4426.5879922144195</v>
      </c>
      <c r="E20" s="221">
        <f t="shared" si="2"/>
        <v>4111.6312612144193</v>
      </c>
      <c r="F20" s="239">
        <f t="shared" si="2"/>
        <v>4941.31145321442</v>
      </c>
      <c r="G20" s="221">
        <f t="shared" si="2"/>
        <v>5072.33233073885</v>
      </c>
      <c r="H20" s="239">
        <f t="shared" si="2"/>
        <v>5843.1383307388496</v>
      </c>
    </row>
    <row r="21" spans="1:8" x14ac:dyDescent="0.25">
      <c r="A21" s="158" t="s">
        <v>231</v>
      </c>
      <c r="B21" s="164" t="s">
        <v>176</v>
      </c>
      <c r="C21" s="216" t="s">
        <v>255</v>
      </c>
      <c r="D21" s="162" t="str">
        <f>+C21</f>
        <v>***</v>
      </c>
      <c r="E21" s="162" t="str">
        <f>+D21</f>
        <v>***</v>
      </c>
      <c r="F21" s="161" t="str">
        <f>+E21</f>
        <v>***</v>
      </c>
      <c r="G21" s="218" t="str">
        <f>+H21</f>
        <v>***</v>
      </c>
      <c r="H21" s="240" t="s">
        <v>255</v>
      </c>
    </row>
    <row r="22" spans="1:8" x14ac:dyDescent="0.25">
      <c r="A22" s="158" t="s">
        <v>232</v>
      </c>
      <c r="B22" s="159" t="s">
        <v>233</v>
      </c>
      <c r="C22" s="216" t="str">
        <f>+D22</f>
        <v>*****</v>
      </c>
      <c r="D22" s="162" t="s">
        <v>259</v>
      </c>
      <c r="E22" s="162" t="s">
        <v>279</v>
      </c>
      <c r="F22" s="161" t="s">
        <v>234</v>
      </c>
      <c r="G22" s="218" t="str">
        <f>+D22</f>
        <v>*****</v>
      </c>
      <c r="H22" s="240" t="s">
        <v>280</v>
      </c>
    </row>
    <row r="23" spans="1:8" x14ac:dyDescent="0.25">
      <c r="A23" s="158" t="s">
        <v>235</v>
      </c>
      <c r="B23" s="164" t="s">
        <v>325</v>
      </c>
      <c r="C23" s="216" t="str">
        <f>+D23</f>
        <v>******</v>
      </c>
      <c r="D23" s="226" t="s">
        <v>261</v>
      </c>
      <c r="E23" s="226" t="str">
        <f>+D23</f>
        <v>******</v>
      </c>
      <c r="F23" s="163" t="str">
        <f>+E23</f>
        <v>******</v>
      </c>
      <c r="G23" s="218" t="str">
        <f>+F23</f>
        <v>******</v>
      </c>
      <c r="H23" s="237" t="str">
        <f>+G23</f>
        <v>******</v>
      </c>
    </row>
    <row r="24" spans="1:8" ht="15.75" thickBot="1" x14ac:dyDescent="0.3">
      <c r="A24" s="169" t="s">
        <v>237</v>
      </c>
      <c r="B24" s="170" t="s">
        <v>238</v>
      </c>
      <c r="C24" s="227"/>
      <c r="D24" s="173"/>
      <c r="E24" s="228"/>
      <c r="F24" s="172"/>
      <c r="G24" s="228"/>
      <c r="H24" s="245"/>
    </row>
    <row r="25" spans="1:8" ht="15.75" thickTop="1" x14ac:dyDescent="0.25"/>
    <row r="26" spans="1:8" ht="15.75" thickBot="1" x14ac:dyDescent="0.3"/>
    <row r="27" spans="1:8" ht="15.75" thickTop="1" x14ac:dyDescent="0.25">
      <c r="A27" s="212"/>
      <c r="B27" s="213" t="s">
        <v>369</v>
      </c>
      <c r="C27" s="574" t="s">
        <v>203</v>
      </c>
      <c r="D27" s="575"/>
      <c r="E27" s="575"/>
      <c r="F27" s="576"/>
      <c r="G27" s="580" t="s">
        <v>275</v>
      </c>
      <c r="H27" s="581"/>
    </row>
    <row r="28" spans="1:8" x14ac:dyDescent="0.25">
      <c r="A28" s="155"/>
      <c r="B28" s="214" t="s">
        <v>367</v>
      </c>
      <c r="C28" s="577"/>
      <c r="D28" s="578"/>
      <c r="E28" s="578"/>
      <c r="F28" s="579"/>
      <c r="G28" s="582"/>
      <c r="H28" s="583"/>
    </row>
    <row r="29" spans="1:8" ht="38.25" x14ac:dyDescent="0.25">
      <c r="A29" s="562" t="s">
        <v>204</v>
      </c>
      <c r="B29" s="564" t="s">
        <v>205</v>
      </c>
      <c r="C29" s="566" t="s">
        <v>266</v>
      </c>
      <c r="D29" s="372" t="s">
        <v>97</v>
      </c>
      <c r="E29" s="372" t="s">
        <v>194</v>
      </c>
      <c r="F29" s="372" t="str">
        <f>+F5</f>
        <v>Biodiesel B10</v>
      </c>
      <c r="G29" s="372" t="s">
        <v>97</v>
      </c>
      <c r="H29" s="370" t="str">
        <f>+F29</f>
        <v>Biodiesel B10</v>
      </c>
    </row>
    <row r="30" spans="1:8" x14ac:dyDescent="0.25">
      <c r="A30" s="562"/>
      <c r="B30" s="564"/>
      <c r="C30" s="567"/>
      <c r="D30" s="187">
        <v>0.08</v>
      </c>
      <c r="E30" s="205">
        <v>0.02</v>
      </c>
      <c r="F30" s="431">
        <f>+F6</f>
        <v>0.1</v>
      </c>
      <c r="G30" s="205">
        <v>0.1</v>
      </c>
      <c r="H30" s="188">
        <f>+F30</f>
        <v>0.1</v>
      </c>
    </row>
    <row r="31" spans="1:8" x14ac:dyDescent="0.25">
      <c r="A31" s="563"/>
      <c r="B31" s="565"/>
      <c r="C31" s="371" t="s">
        <v>206</v>
      </c>
      <c r="D31" s="372" t="s">
        <v>206</v>
      </c>
      <c r="E31" s="372" t="s">
        <v>206</v>
      </c>
      <c r="F31" s="372" t="s">
        <v>206</v>
      </c>
      <c r="G31" s="371" t="s">
        <v>206</v>
      </c>
      <c r="H31" s="370" t="s">
        <v>206</v>
      </c>
    </row>
    <row r="32" spans="1:8" x14ac:dyDescent="0.25">
      <c r="A32" s="158" t="s">
        <v>207</v>
      </c>
      <c r="B32" s="164" t="s">
        <v>208</v>
      </c>
      <c r="C32" s="230">
        <f>+'Calculo IP ZDF'!B38</f>
        <v>4055.21</v>
      </c>
      <c r="D32" s="236">
        <f>+'Calculo IP ZDF'!G38</f>
        <v>4474.7190000000001</v>
      </c>
      <c r="E32" s="238">
        <f>+'Calculo IP ZDF'!F38</f>
        <v>4474.1974</v>
      </c>
      <c r="F32" s="237">
        <f>+'Calculo IP ZDF'!H38</f>
        <v>5266.59</v>
      </c>
      <c r="G32" s="215">
        <f>+G8</f>
        <v>4474.72</v>
      </c>
      <c r="H32" s="240">
        <f>+H8</f>
        <v>5266.59</v>
      </c>
    </row>
    <row r="33" spans="1:8" x14ac:dyDescent="0.25">
      <c r="A33" s="158" t="s">
        <v>209</v>
      </c>
      <c r="B33" s="164" t="s">
        <v>210</v>
      </c>
      <c r="C33" s="230" t="str">
        <f t="shared" ref="C33:H39" si="3">+C9</f>
        <v>------------------</v>
      </c>
      <c r="D33" s="236" t="str">
        <f t="shared" si="3"/>
        <v>------------------</v>
      </c>
      <c r="E33" s="238" t="str">
        <f t="shared" si="3"/>
        <v>------------------</v>
      </c>
      <c r="F33" s="237" t="str">
        <f t="shared" si="3"/>
        <v>------------------</v>
      </c>
      <c r="G33" s="215">
        <f t="shared" si="3"/>
        <v>491.63400000000001</v>
      </c>
      <c r="H33" s="240">
        <f t="shared" si="3"/>
        <v>470.57</v>
      </c>
    </row>
    <row r="34" spans="1:8" x14ac:dyDescent="0.25">
      <c r="A34" s="158"/>
      <c r="B34" s="164" t="s">
        <v>138</v>
      </c>
      <c r="C34" s="230" t="str">
        <f t="shared" si="3"/>
        <v>------------------</v>
      </c>
      <c r="D34" s="236" t="str">
        <f t="shared" si="3"/>
        <v>------------------</v>
      </c>
      <c r="E34" s="238" t="str">
        <f t="shared" si="3"/>
        <v>------------------</v>
      </c>
      <c r="F34" s="237" t="str">
        <f t="shared" si="3"/>
        <v>------------------</v>
      </c>
      <c r="G34" s="215" t="str">
        <f t="shared" si="3"/>
        <v>(3)</v>
      </c>
      <c r="H34" s="240" t="str">
        <f t="shared" si="3"/>
        <v>(3)</v>
      </c>
    </row>
    <row r="35" spans="1:8" x14ac:dyDescent="0.25">
      <c r="A35" s="158"/>
      <c r="B35" s="164" t="s">
        <v>140</v>
      </c>
      <c r="C35" s="230" t="str">
        <f t="shared" si="3"/>
        <v>(4)</v>
      </c>
      <c r="D35" s="236" t="str">
        <f t="shared" si="3"/>
        <v>(4)</v>
      </c>
      <c r="E35" s="238" t="str">
        <f t="shared" si="3"/>
        <v>(4)</v>
      </c>
      <c r="F35" s="237" t="str">
        <f t="shared" si="3"/>
        <v>(4)</v>
      </c>
      <c r="G35" s="215" t="str">
        <f t="shared" si="3"/>
        <v>(4)</v>
      </c>
      <c r="H35" s="240" t="str">
        <f t="shared" si="3"/>
        <v>(4)</v>
      </c>
    </row>
    <row r="36" spans="1:8" x14ac:dyDescent="0.25">
      <c r="A36" s="158" t="s">
        <v>212</v>
      </c>
      <c r="B36" s="164" t="s">
        <v>320</v>
      </c>
      <c r="C36" s="230" t="str">
        <f t="shared" si="3"/>
        <v>(2)</v>
      </c>
      <c r="D36" s="236" t="str">
        <f t="shared" si="3"/>
        <v>(2)</v>
      </c>
      <c r="E36" s="238" t="str">
        <f t="shared" si="3"/>
        <v>(2)</v>
      </c>
      <c r="F36" s="237" t="str">
        <f t="shared" si="3"/>
        <v>(2)</v>
      </c>
      <c r="G36" s="215" t="str">
        <f t="shared" si="3"/>
        <v>(2)</v>
      </c>
      <c r="H36" s="240" t="str">
        <f t="shared" si="3"/>
        <v>(2)</v>
      </c>
    </row>
    <row r="37" spans="1:8" x14ac:dyDescent="0.25">
      <c r="A37" s="158" t="s">
        <v>214</v>
      </c>
      <c r="B37" s="164" t="s">
        <v>215</v>
      </c>
      <c r="C37" s="230">
        <f t="shared" si="3"/>
        <v>10.13543305493382</v>
      </c>
      <c r="D37" s="236">
        <f t="shared" si="3"/>
        <v>10.13543305493382</v>
      </c>
      <c r="E37" s="238">
        <f t="shared" si="3"/>
        <v>10.13543305493382</v>
      </c>
      <c r="F37" s="237">
        <f t="shared" si="3"/>
        <v>10.13543305493382</v>
      </c>
      <c r="G37" s="215">
        <f t="shared" si="3"/>
        <v>21.906900579364827</v>
      </c>
      <c r="H37" s="240">
        <f t="shared" si="3"/>
        <v>21.906900579364827</v>
      </c>
    </row>
    <row r="38" spans="1:8" x14ac:dyDescent="0.25">
      <c r="A38" s="158" t="s">
        <v>218</v>
      </c>
      <c r="B38" s="235" t="s">
        <v>219</v>
      </c>
      <c r="C38" s="230">
        <f t="shared" si="3"/>
        <v>12.561430159485083</v>
      </c>
      <c r="D38" s="236">
        <f t="shared" si="3"/>
        <v>12.561430159485083</v>
      </c>
      <c r="E38" s="238">
        <f t="shared" si="3"/>
        <v>12.561430159485083</v>
      </c>
      <c r="F38" s="237">
        <f t="shared" si="3"/>
        <v>12.561430159485083</v>
      </c>
      <c r="G38" s="215">
        <f t="shared" si="3"/>
        <v>12.561430159485083</v>
      </c>
      <c r="H38" s="240">
        <f t="shared" si="3"/>
        <v>12.561430159485083</v>
      </c>
    </row>
    <row r="39" spans="1:8" x14ac:dyDescent="0.25">
      <c r="A39" s="158"/>
      <c r="B39" s="164" t="s">
        <v>220</v>
      </c>
      <c r="C39" s="230">
        <f t="shared" si="3"/>
        <v>71.510000000000005</v>
      </c>
      <c r="D39" s="236">
        <f t="shared" si="3"/>
        <v>71.510000000000005</v>
      </c>
      <c r="E39" s="238">
        <f t="shared" si="3"/>
        <v>71.510000000000005</v>
      </c>
      <c r="F39" s="237">
        <f t="shared" si="3"/>
        <v>71.510000000000005</v>
      </c>
      <c r="G39" s="215">
        <f t="shared" si="3"/>
        <v>71.510000000000005</v>
      </c>
      <c r="H39" s="240">
        <f t="shared" si="3"/>
        <v>71.510000000000005</v>
      </c>
    </row>
    <row r="40" spans="1:8" x14ac:dyDescent="0.25">
      <c r="A40" s="165" t="s">
        <v>221</v>
      </c>
      <c r="B40" s="196" t="s">
        <v>222</v>
      </c>
      <c r="C40" s="221">
        <f>SUM(C32:C39)</f>
        <v>4149.4168632144192</v>
      </c>
      <c r="D40" s="222">
        <f t="shared" ref="D40:H40" si="4">SUM(D32:D39)</f>
        <v>4568.9258632144192</v>
      </c>
      <c r="E40" s="222">
        <f t="shared" si="4"/>
        <v>4568.4042632144192</v>
      </c>
      <c r="F40" s="223">
        <f t="shared" si="4"/>
        <v>5360.7968632144193</v>
      </c>
      <c r="G40" s="224">
        <f t="shared" si="4"/>
        <v>5072.33233073885</v>
      </c>
      <c r="H40" s="243">
        <f t="shared" si="4"/>
        <v>5843.1383307388496</v>
      </c>
    </row>
    <row r="41" spans="1:8" x14ac:dyDescent="0.25">
      <c r="A41" s="158" t="s">
        <v>223</v>
      </c>
      <c r="B41" s="164" t="s">
        <v>224</v>
      </c>
      <c r="C41" s="216" t="s">
        <v>255</v>
      </c>
      <c r="D41" s="225" t="str">
        <f>+C41</f>
        <v>***</v>
      </c>
      <c r="E41" s="225" t="str">
        <f>+C41</f>
        <v>***</v>
      </c>
      <c r="F41" s="161" t="str">
        <f>+C41</f>
        <v>***</v>
      </c>
      <c r="G41" s="218" t="str">
        <f>+H41</f>
        <v>***</v>
      </c>
      <c r="H41" s="244" t="s">
        <v>255</v>
      </c>
    </row>
    <row r="42" spans="1:8" x14ac:dyDescent="0.25">
      <c r="A42" s="158" t="s">
        <v>225</v>
      </c>
      <c r="B42" s="164" t="s">
        <v>226</v>
      </c>
      <c r="C42" s="216" t="str">
        <f>+D42</f>
        <v>**</v>
      </c>
      <c r="D42" s="226" t="s">
        <v>253</v>
      </c>
      <c r="E42" s="226" t="s">
        <v>253</v>
      </c>
      <c r="F42" s="161" t="s">
        <v>253</v>
      </c>
      <c r="G42" s="218" t="str">
        <f>+H42</f>
        <v>**</v>
      </c>
      <c r="H42" s="237" t="s">
        <v>253</v>
      </c>
    </row>
    <row r="43" spans="1:8" x14ac:dyDescent="0.25">
      <c r="A43" s="158" t="s">
        <v>227</v>
      </c>
      <c r="B43" s="164" t="s">
        <v>228</v>
      </c>
      <c r="C43" s="216" t="str">
        <f>+D43</f>
        <v>****</v>
      </c>
      <c r="D43" s="162" t="s">
        <v>257</v>
      </c>
      <c r="E43" s="162" t="str">
        <f>+D43</f>
        <v>****</v>
      </c>
      <c r="F43" s="161" t="str">
        <f>+E43</f>
        <v>****</v>
      </c>
      <c r="G43" s="218" t="str">
        <f>+F43</f>
        <v>****</v>
      </c>
      <c r="H43" s="240" t="str">
        <f>+F43</f>
        <v>****</v>
      </c>
    </row>
    <row r="44" spans="1:8" x14ac:dyDescent="0.25">
      <c r="A44" s="165" t="s">
        <v>229</v>
      </c>
      <c r="B44" s="196" t="s">
        <v>230</v>
      </c>
      <c r="C44" s="221">
        <f t="shared" ref="C44:H44" si="5">+C40</f>
        <v>4149.4168632144192</v>
      </c>
      <c r="D44" s="221">
        <f t="shared" si="5"/>
        <v>4568.9258632144192</v>
      </c>
      <c r="E44" s="221">
        <f t="shared" si="5"/>
        <v>4568.4042632144192</v>
      </c>
      <c r="F44" s="239">
        <f t="shared" si="5"/>
        <v>5360.7968632144193</v>
      </c>
      <c r="G44" s="221">
        <f t="shared" si="5"/>
        <v>5072.33233073885</v>
      </c>
      <c r="H44" s="239">
        <f t="shared" si="5"/>
        <v>5843.1383307388496</v>
      </c>
    </row>
    <row r="45" spans="1:8" x14ac:dyDescent="0.25">
      <c r="A45" s="158" t="s">
        <v>231</v>
      </c>
      <c r="B45" s="164" t="s">
        <v>176</v>
      </c>
      <c r="C45" s="216" t="s">
        <v>255</v>
      </c>
      <c r="D45" s="162" t="str">
        <f>+C45</f>
        <v>***</v>
      </c>
      <c r="E45" s="162" t="str">
        <f>+D45</f>
        <v>***</v>
      </c>
      <c r="F45" s="161" t="str">
        <f>+E45</f>
        <v>***</v>
      </c>
      <c r="G45" s="218" t="str">
        <f>+H45</f>
        <v>***</v>
      </c>
      <c r="H45" s="240" t="s">
        <v>255</v>
      </c>
    </row>
    <row r="46" spans="1:8" x14ac:dyDescent="0.25">
      <c r="A46" s="158" t="s">
        <v>232</v>
      </c>
      <c r="B46" s="159" t="s">
        <v>233</v>
      </c>
      <c r="C46" s="216" t="str">
        <f>+D46</f>
        <v>*****</v>
      </c>
      <c r="D46" s="162" t="s">
        <v>259</v>
      </c>
      <c r="E46" s="162" t="s">
        <v>279</v>
      </c>
      <c r="F46" s="161" t="s">
        <v>234</v>
      </c>
      <c r="G46" s="218" t="str">
        <f>+D46</f>
        <v>*****</v>
      </c>
      <c r="H46" s="240" t="s">
        <v>280</v>
      </c>
    </row>
    <row r="47" spans="1:8" x14ac:dyDescent="0.25">
      <c r="A47" s="158" t="s">
        <v>235</v>
      </c>
      <c r="B47" s="164" t="s">
        <v>325</v>
      </c>
      <c r="C47" s="216" t="str">
        <f>+D47</f>
        <v>******</v>
      </c>
      <c r="D47" s="226" t="s">
        <v>261</v>
      </c>
      <c r="E47" s="226" t="str">
        <f>+D47</f>
        <v>******</v>
      </c>
      <c r="F47" s="163" t="str">
        <f>+E47</f>
        <v>******</v>
      </c>
      <c r="G47" s="218" t="str">
        <f>+F47</f>
        <v>******</v>
      </c>
      <c r="H47" s="237" t="str">
        <f>+G47</f>
        <v>******</v>
      </c>
    </row>
    <row r="48" spans="1:8" ht="15.75" thickBot="1" x14ac:dyDescent="0.3">
      <c r="A48" s="169" t="s">
        <v>237</v>
      </c>
      <c r="B48" s="170" t="s">
        <v>238</v>
      </c>
      <c r="C48" s="227"/>
      <c r="D48" s="173"/>
      <c r="E48" s="228"/>
      <c r="F48" s="172"/>
      <c r="G48" s="228"/>
      <c r="H48" s="245"/>
    </row>
    <row r="49" spans="1:16" ht="15.75" thickTop="1" x14ac:dyDescent="0.25"/>
    <row r="51" spans="1:16" x14ac:dyDescent="0.25">
      <c r="A51" s="177"/>
      <c r="B51" s="292" t="s">
        <v>251</v>
      </c>
      <c r="C51" s="232"/>
      <c r="D51" s="232"/>
      <c r="E51" s="232"/>
      <c r="F51" s="232"/>
      <c r="G51" s="211"/>
      <c r="H51" s="211"/>
      <c r="I51" s="211"/>
      <c r="J51" s="211"/>
      <c r="K51" s="211"/>
      <c r="L51" s="211"/>
      <c r="M51" s="211"/>
      <c r="N51" s="211"/>
      <c r="O51" s="211"/>
      <c r="P51" s="211"/>
    </row>
    <row r="52" spans="1:16" x14ac:dyDescent="0.25">
      <c r="A52" s="177"/>
      <c r="B52" s="200"/>
      <c r="C52" s="232"/>
      <c r="D52" s="232"/>
      <c r="E52" s="232"/>
      <c r="F52" s="232"/>
      <c r="G52" s="211"/>
      <c r="H52" s="211"/>
      <c r="I52" s="211"/>
      <c r="J52" s="211"/>
      <c r="K52" s="211"/>
      <c r="L52" s="211"/>
      <c r="M52" s="211"/>
      <c r="N52" s="211"/>
      <c r="O52" s="211"/>
      <c r="P52" s="211"/>
    </row>
    <row r="53" spans="1:16" ht="15" customHeight="1" x14ac:dyDescent="0.25">
      <c r="A53" s="177" t="s">
        <v>213</v>
      </c>
      <c r="B53" s="571" t="str">
        <f>+VAUPES!B28</f>
        <v>De acuerdo con lo establecido en la Resolución MME 91349 de 2014</v>
      </c>
      <c r="C53" s="571"/>
      <c r="D53" s="571"/>
      <c r="E53" s="571"/>
      <c r="F53" s="571"/>
      <c r="G53" s="571"/>
      <c r="H53" s="571"/>
      <c r="I53" s="571"/>
      <c r="J53" s="571"/>
      <c r="K53" s="233"/>
      <c r="L53" s="233"/>
      <c r="M53" s="233"/>
      <c r="N53" s="233"/>
      <c r="O53" s="233"/>
      <c r="P53" s="233"/>
    </row>
    <row r="54" spans="1:16" ht="26.25" customHeight="1" x14ac:dyDescent="0.25">
      <c r="A54" s="177" t="s">
        <v>240</v>
      </c>
      <c r="B54" s="568" t="s">
        <v>297</v>
      </c>
      <c r="C54" s="568"/>
      <c r="D54" s="568"/>
      <c r="E54" s="568"/>
      <c r="F54" s="568"/>
      <c r="G54" s="568"/>
      <c r="H54" s="568"/>
      <c r="I54" s="568"/>
      <c r="J54" s="568"/>
      <c r="K54" s="211"/>
      <c r="L54" s="211"/>
      <c r="M54" s="211"/>
      <c r="N54" s="211"/>
      <c r="O54" s="211"/>
      <c r="P54" s="211"/>
    </row>
    <row r="55" spans="1:16" ht="54.75" customHeight="1" x14ac:dyDescent="0.25">
      <c r="A55" s="177" t="s">
        <v>139</v>
      </c>
      <c r="B55" s="571" t="s">
        <v>365</v>
      </c>
      <c r="C55" s="571"/>
      <c r="D55" s="571"/>
      <c r="E55" s="571"/>
      <c r="F55" s="571"/>
      <c r="G55" s="571"/>
      <c r="H55" s="571"/>
      <c r="I55" s="571"/>
      <c r="J55" s="571"/>
      <c r="K55" s="211"/>
      <c r="L55" s="211"/>
      <c r="M55" s="211"/>
      <c r="N55" s="211"/>
      <c r="O55" s="211"/>
      <c r="P55" s="211"/>
    </row>
    <row r="56" spans="1:16" ht="54.75" customHeight="1" x14ac:dyDescent="0.25">
      <c r="A56" s="177" t="s">
        <v>241</v>
      </c>
      <c r="B56" s="570" t="s">
        <v>445</v>
      </c>
      <c r="C56" s="570"/>
      <c r="D56" s="570"/>
      <c r="E56" s="570"/>
      <c r="F56" s="570"/>
      <c r="G56" s="570"/>
      <c r="H56" s="570"/>
      <c r="I56" s="570"/>
      <c r="J56" s="570"/>
      <c r="K56" s="211"/>
      <c r="L56" s="211"/>
      <c r="M56" s="211"/>
      <c r="N56" s="211"/>
      <c r="O56" s="211"/>
      <c r="P56" s="211"/>
    </row>
    <row r="57" spans="1:16" x14ac:dyDescent="0.25">
      <c r="A57" s="177"/>
      <c r="B57" s="200"/>
      <c r="C57" s="232"/>
      <c r="D57" s="232"/>
      <c r="E57" s="232"/>
      <c r="F57" s="232"/>
      <c r="G57" s="211"/>
      <c r="H57" s="211"/>
      <c r="I57" s="211"/>
      <c r="J57" s="211"/>
      <c r="K57" s="211"/>
      <c r="L57" s="211"/>
      <c r="M57" s="211"/>
      <c r="N57" s="211"/>
      <c r="O57" s="211"/>
      <c r="P57" s="211"/>
    </row>
    <row r="58" spans="1:16" ht="15" customHeight="1" x14ac:dyDescent="0.25">
      <c r="A58" s="201" t="s">
        <v>104</v>
      </c>
      <c r="B58" s="569" t="s">
        <v>252</v>
      </c>
      <c r="C58" s="569"/>
      <c r="D58" s="569"/>
      <c r="E58" s="569"/>
      <c r="F58" s="569"/>
      <c r="G58" s="569"/>
      <c r="H58" s="569"/>
      <c r="I58" s="569"/>
      <c r="J58" s="569"/>
      <c r="K58" s="211"/>
      <c r="L58" s="211"/>
      <c r="M58" s="211"/>
      <c r="N58" s="211"/>
      <c r="O58" s="211"/>
      <c r="P58" s="211"/>
    </row>
    <row r="59" spans="1:16" ht="15" customHeight="1" x14ac:dyDescent="0.25">
      <c r="A59" s="201" t="s">
        <v>253</v>
      </c>
      <c r="B59" s="571" t="s">
        <v>324</v>
      </c>
      <c r="C59" s="571"/>
      <c r="D59" s="571"/>
      <c r="E59" s="571"/>
      <c r="F59" s="571"/>
      <c r="G59" s="571"/>
      <c r="H59" s="571"/>
      <c r="I59" s="571"/>
      <c r="J59" s="571"/>
      <c r="K59" s="211"/>
      <c r="L59" s="211"/>
      <c r="M59" s="211"/>
      <c r="N59" s="211"/>
      <c r="O59" s="211"/>
      <c r="P59" s="211"/>
    </row>
    <row r="60" spans="1:16" ht="15" customHeight="1" x14ac:dyDescent="0.25">
      <c r="A60" s="177" t="s">
        <v>255</v>
      </c>
      <c r="B60" s="571" t="s">
        <v>256</v>
      </c>
      <c r="C60" s="571"/>
      <c r="D60" s="571"/>
      <c r="E60" s="571"/>
      <c r="F60" s="571"/>
      <c r="G60" s="571"/>
      <c r="H60" s="571"/>
      <c r="I60" s="177"/>
      <c r="J60" s="569"/>
      <c r="K60" s="569"/>
      <c r="L60" s="569"/>
      <c r="M60" s="569"/>
      <c r="N60" s="569"/>
      <c r="O60" s="569"/>
      <c r="P60" s="569"/>
    </row>
    <row r="61" spans="1:16" ht="15" customHeight="1" x14ac:dyDescent="0.25">
      <c r="A61" s="177" t="s">
        <v>257</v>
      </c>
      <c r="B61" s="569" t="s">
        <v>260</v>
      </c>
      <c r="C61" s="569"/>
      <c r="D61" s="569"/>
      <c r="E61" s="569"/>
      <c r="F61" s="569"/>
      <c r="G61" s="569"/>
      <c r="H61" s="569"/>
      <c r="I61" s="177"/>
      <c r="J61" s="369"/>
      <c r="K61" s="369"/>
      <c r="L61" s="369"/>
      <c r="M61" s="369"/>
      <c r="N61" s="369"/>
      <c r="O61" s="369"/>
      <c r="P61" s="369"/>
    </row>
    <row r="62" spans="1:16" x14ac:dyDescent="0.25">
      <c r="A62" s="201" t="s">
        <v>259</v>
      </c>
      <c r="B62" s="571" t="s">
        <v>262</v>
      </c>
      <c r="C62" s="571"/>
      <c r="D62" s="571"/>
      <c r="E62" s="571"/>
      <c r="F62" s="571"/>
      <c r="G62" s="571"/>
      <c r="H62" s="571"/>
      <c r="I62" s="571"/>
      <c r="J62" s="571"/>
      <c r="K62" s="211"/>
      <c r="L62" s="211"/>
      <c r="M62" s="211"/>
      <c r="N62" s="211"/>
      <c r="O62" s="211"/>
      <c r="P62" s="211"/>
    </row>
    <row r="63" spans="1:16" x14ac:dyDescent="0.25">
      <c r="A63" s="201" t="s">
        <v>261</v>
      </c>
      <c r="B63" s="571" t="s">
        <v>326</v>
      </c>
      <c r="C63" s="571"/>
      <c r="D63" s="571"/>
      <c r="E63" s="571"/>
      <c r="F63" s="571"/>
      <c r="G63" s="571"/>
      <c r="H63" s="571"/>
      <c r="I63" s="571"/>
      <c r="J63" s="571"/>
      <c r="K63" s="211"/>
      <c r="L63" s="211"/>
      <c r="M63" s="211"/>
      <c r="N63" s="211"/>
      <c r="O63" s="211"/>
      <c r="P63" s="211"/>
    </row>
    <row r="65" spans="1:10" ht="87.75" customHeight="1" x14ac:dyDescent="0.25">
      <c r="A65" s="573" t="s">
        <v>163</v>
      </c>
      <c r="B65" s="573"/>
      <c r="C65" s="573"/>
      <c r="D65" s="573"/>
      <c r="E65" s="573"/>
      <c r="F65" s="573"/>
      <c r="G65" s="573"/>
      <c r="H65" s="573"/>
      <c r="I65" s="573"/>
      <c r="J65" s="573"/>
    </row>
  </sheetData>
  <sheetProtection password="C712" sheet="1" objects="1" scenarios="1"/>
  <mergeCells count="22">
    <mergeCell ref="B53:J53"/>
    <mergeCell ref="C3:F4"/>
    <mergeCell ref="G3:H4"/>
    <mergeCell ref="A5:A7"/>
    <mergeCell ref="B5:B7"/>
    <mergeCell ref="C5:C6"/>
    <mergeCell ref="C27:F28"/>
    <mergeCell ref="G27:H28"/>
    <mergeCell ref="A29:A31"/>
    <mergeCell ref="B29:B31"/>
    <mergeCell ref="C29:C30"/>
    <mergeCell ref="B61:H61"/>
    <mergeCell ref="B62:J62"/>
    <mergeCell ref="B63:J63"/>
    <mergeCell ref="A65:J65"/>
    <mergeCell ref="B54:J54"/>
    <mergeCell ref="B55:J55"/>
    <mergeCell ref="B58:J58"/>
    <mergeCell ref="B59:J59"/>
    <mergeCell ref="B60:H60"/>
    <mergeCell ref="J60:P60"/>
    <mergeCell ref="B56:J56"/>
  </mergeCells>
  <hyperlinks>
    <hyperlink ref="B51" location="VAUPES!A40" display="Ver Nota Informativa"/>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31"/>
  <sheetViews>
    <sheetView zoomScale="85" zoomScaleNormal="85" workbookViewId="0">
      <selection activeCell="C8" sqref="C8"/>
    </sheetView>
  </sheetViews>
  <sheetFormatPr baseColWidth="10" defaultRowHeight="15" x14ac:dyDescent="0.25"/>
  <cols>
    <col min="1" max="1" width="65.7109375" customWidth="1"/>
    <col min="2" max="2" width="32.42578125" customWidth="1"/>
    <col min="3" max="3" width="31" customWidth="1"/>
    <col min="4" max="4" width="32.7109375" customWidth="1"/>
    <col min="7" max="8" width="0" hidden="1" customWidth="1"/>
  </cols>
  <sheetData>
    <row r="1" spans="1:7" x14ac:dyDescent="0.25">
      <c r="A1" s="613" t="s">
        <v>327</v>
      </c>
      <c r="B1" s="613"/>
      <c r="C1" s="613"/>
      <c r="D1" s="613"/>
      <c r="E1" s="336">
        <v>2826.91</v>
      </c>
    </row>
    <row r="2" spans="1:7" x14ac:dyDescent="0.25">
      <c r="A2" s="613" t="s">
        <v>328</v>
      </c>
      <c r="B2" s="613"/>
      <c r="C2" s="613"/>
      <c r="D2" s="613"/>
      <c r="E2" s="335"/>
    </row>
    <row r="3" spans="1:7" x14ac:dyDescent="0.25">
      <c r="A3" s="613" t="s">
        <v>329</v>
      </c>
      <c r="B3" s="613"/>
      <c r="C3" s="613"/>
      <c r="D3" s="613"/>
      <c r="E3" s="335"/>
    </row>
    <row r="4" spans="1:7" x14ac:dyDescent="0.25">
      <c r="A4" s="334"/>
      <c r="B4" s="334"/>
      <c r="C4" s="335"/>
      <c r="D4" s="335"/>
      <c r="E4" s="335"/>
    </row>
    <row r="5" spans="1:7" ht="15.75" thickBot="1" x14ac:dyDescent="0.3">
      <c r="A5" s="337" t="str">
        <f>+AMAZONAS!C1</f>
        <v>Vigencia: 16 de Diciembre de 2020; 00:00 horas</v>
      </c>
      <c r="B5" s="334"/>
      <c r="C5" s="335"/>
      <c r="D5" s="335"/>
      <c r="E5" s="335"/>
    </row>
    <row r="6" spans="1:7" ht="15.75" customHeight="1" thickTop="1" x14ac:dyDescent="0.25">
      <c r="A6" s="614" t="s">
        <v>330</v>
      </c>
      <c r="B6" s="616" t="s">
        <v>348</v>
      </c>
      <c r="C6" s="616" t="s">
        <v>347</v>
      </c>
      <c r="D6" s="618" t="s">
        <v>443</v>
      </c>
      <c r="E6" s="335"/>
    </row>
    <row r="7" spans="1:7" ht="31.5" customHeight="1" x14ac:dyDescent="0.25">
      <c r="A7" s="615"/>
      <c r="B7" s="617"/>
      <c r="C7" s="617"/>
      <c r="D7" s="564"/>
      <c r="E7" s="335"/>
    </row>
    <row r="8" spans="1:7" x14ac:dyDescent="0.25">
      <c r="A8" s="350" t="s">
        <v>331</v>
      </c>
      <c r="B8" s="351">
        <f>+BIODIESEL!C6</f>
        <v>4276.1000000000004</v>
      </c>
      <c r="C8" s="352">
        <f>+BIODIESEL!E9</f>
        <v>4474.2</v>
      </c>
      <c r="D8" s="353">
        <f>+BIODIESEL!G9</f>
        <v>5266.59</v>
      </c>
      <c r="E8" s="335"/>
      <c r="G8" s="473" t="s">
        <v>459</v>
      </c>
    </row>
    <row r="9" spans="1:7" x14ac:dyDescent="0.25">
      <c r="A9" s="350" t="s">
        <v>332</v>
      </c>
      <c r="B9" s="352" t="s">
        <v>139</v>
      </c>
      <c r="C9" s="352" t="s">
        <v>139</v>
      </c>
      <c r="D9" s="353" t="s">
        <v>139</v>
      </c>
      <c r="E9" s="335"/>
    </row>
    <row r="10" spans="1:7" x14ac:dyDescent="0.25">
      <c r="A10" s="350" t="s">
        <v>333</v>
      </c>
      <c r="B10" s="352">
        <f>+BIODIESEL!C12</f>
        <v>174</v>
      </c>
      <c r="C10" s="352">
        <f>+BIODIESEL!E12</f>
        <v>170.52</v>
      </c>
      <c r="D10" s="353">
        <f>+BIODIESEL!G12</f>
        <v>156.6</v>
      </c>
      <c r="E10" s="335"/>
    </row>
    <row r="11" spans="1:7" x14ac:dyDescent="0.25">
      <c r="A11" s="350" t="s">
        <v>334</v>
      </c>
      <c r="B11" s="354">
        <f>+BIODIESEL!D13</f>
        <v>8.1370000000000005</v>
      </c>
      <c r="C11" s="354">
        <f>+BIODIESEL!E13</f>
        <v>8.1370000000000005</v>
      </c>
      <c r="D11" s="355">
        <f>+C11</f>
        <v>8.1370000000000005</v>
      </c>
      <c r="E11" s="335"/>
    </row>
    <row r="12" spans="1:7" x14ac:dyDescent="0.25">
      <c r="A12" s="356" t="s">
        <v>335</v>
      </c>
      <c r="B12" s="357" t="s">
        <v>135</v>
      </c>
      <c r="C12" s="357" t="s">
        <v>135</v>
      </c>
      <c r="D12" s="358" t="s">
        <v>135</v>
      </c>
      <c r="E12" s="335"/>
    </row>
    <row r="13" spans="1:7" x14ac:dyDescent="0.25">
      <c r="A13" s="359" t="s">
        <v>336</v>
      </c>
      <c r="B13" s="354">
        <f>+BIODIESEL!D16</f>
        <v>71.510000000000005</v>
      </c>
      <c r="C13" s="354">
        <f>+BIODIESEL!E16</f>
        <v>71.510000000000005</v>
      </c>
      <c r="D13" s="355">
        <f>+C13</f>
        <v>71.510000000000005</v>
      </c>
      <c r="E13" s="335"/>
    </row>
    <row r="14" spans="1:7" x14ac:dyDescent="0.25">
      <c r="A14" s="356" t="s">
        <v>337</v>
      </c>
      <c r="B14" s="357" t="s">
        <v>213</v>
      </c>
      <c r="C14" s="357" t="s">
        <v>213</v>
      </c>
      <c r="D14" s="358" t="s">
        <v>213</v>
      </c>
      <c r="E14" s="335"/>
    </row>
    <row r="15" spans="1:7" x14ac:dyDescent="0.25">
      <c r="A15" s="356" t="s">
        <v>338</v>
      </c>
      <c r="B15" s="354" t="s">
        <v>150</v>
      </c>
      <c r="C15" s="354" t="s">
        <v>150</v>
      </c>
      <c r="D15" s="355" t="s">
        <v>150</v>
      </c>
      <c r="E15" s="335"/>
    </row>
    <row r="16" spans="1:7" x14ac:dyDescent="0.25">
      <c r="A16" s="356" t="s">
        <v>339</v>
      </c>
      <c r="B16" s="354" t="s">
        <v>142</v>
      </c>
      <c r="C16" s="354" t="s">
        <v>142</v>
      </c>
      <c r="D16" s="355" t="s">
        <v>142</v>
      </c>
      <c r="E16" s="335"/>
    </row>
    <row r="17" spans="1:5" ht="15.75" thickBot="1" x14ac:dyDescent="0.3">
      <c r="A17" s="360" t="s">
        <v>340</v>
      </c>
      <c r="B17" s="361" t="s">
        <v>240</v>
      </c>
      <c r="C17" s="361" t="s">
        <v>240</v>
      </c>
      <c r="D17" s="362" t="s">
        <v>240</v>
      </c>
      <c r="E17" s="335"/>
    </row>
    <row r="18" spans="1:5" ht="15.75" thickTop="1" x14ac:dyDescent="0.25">
      <c r="A18" s="347" t="s">
        <v>341</v>
      </c>
      <c r="B18" s="338"/>
      <c r="C18" s="335"/>
      <c r="D18" s="335"/>
      <c r="E18" s="335"/>
    </row>
    <row r="19" spans="1:5" x14ac:dyDescent="0.25">
      <c r="A19" s="339" t="s">
        <v>174</v>
      </c>
      <c r="B19" s="340"/>
      <c r="C19" s="335"/>
      <c r="D19" s="335"/>
      <c r="E19" s="335"/>
    </row>
    <row r="20" spans="1:5" x14ac:dyDescent="0.25">
      <c r="A20" s="292" t="s">
        <v>251</v>
      </c>
      <c r="B20" s="340"/>
      <c r="C20" s="335"/>
      <c r="D20" s="335"/>
      <c r="E20" s="335"/>
    </row>
    <row r="21" spans="1:5" x14ac:dyDescent="0.25">
      <c r="A21" s="341" t="s">
        <v>342</v>
      </c>
      <c r="B21" s="342"/>
      <c r="C21" s="335"/>
      <c r="D21" s="335"/>
      <c r="E21" s="335"/>
    </row>
    <row r="22" spans="1:5" x14ac:dyDescent="0.25">
      <c r="A22" s="341" t="s">
        <v>343</v>
      </c>
      <c r="B22" s="343"/>
      <c r="C22" s="335"/>
      <c r="D22" s="493"/>
      <c r="E22" s="335"/>
    </row>
    <row r="23" spans="1:5" x14ac:dyDescent="0.25">
      <c r="A23" s="341" t="s">
        <v>344</v>
      </c>
      <c r="B23" s="344"/>
      <c r="C23" s="335"/>
      <c r="D23" s="335"/>
      <c r="E23" s="335"/>
    </row>
    <row r="24" spans="1:5" ht="12" customHeight="1" x14ac:dyDescent="0.25">
      <c r="A24" s="341"/>
      <c r="B24" s="344"/>
      <c r="C24" s="335"/>
      <c r="D24" s="335"/>
      <c r="E24" s="335"/>
    </row>
    <row r="25" spans="1:5" x14ac:dyDescent="0.25">
      <c r="A25" s="339" t="s">
        <v>345</v>
      </c>
      <c r="B25" s="339"/>
      <c r="C25" s="335"/>
      <c r="D25" s="335"/>
      <c r="E25" s="335"/>
    </row>
    <row r="26" spans="1:5" x14ac:dyDescent="0.25">
      <c r="A26" s="339" t="s">
        <v>346</v>
      </c>
      <c r="B26" s="339"/>
      <c r="C26" s="335"/>
      <c r="D26" s="335"/>
      <c r="E26" s="335"/>
    </row>
    <row r="27" spans="1:5" x14ac:dyDescent="0.25">
      <c r="A27" s="619" t="s">
        <v>364</v>
      </c>
      <c r="B27" s="619"/>
      <c r="C27" s="619"/>
      <c r="D27" s="619"/>
      <c r="E27" s="619"/>
    </row>
    <row r="28" spans="1:5" ht="30" customHeight="1" x14ac:dyDescent="0.25">
      <c r="A28" s="619"/>
      <c r="B28" s="619"/>
      <c r="C28" s="619"/>
      <c r="D28" s="619"/>
      <c r="E28" s="619"/>
    </row>
    <row r="29" spans="1:5" x14ac:dyDescent="0.25">
      <c r="A29" s="341"/>
      <c r="B29" s="344"/>
      <c r="C29" s="335"/>
      <c r="D29" s="335"/>
      <c r="E29" s="335"/>
    </row>
    <row r="30" spans="1:5" x14ac:dyDescent="0.25">
      <c r="A30" s="345" t="s">
        <v>174</v>
      </c>
      <c r="B30" s="346"/>
      <c r="C30" s="335"/>
      <c r="D30" s="335"/>
      <c r="E30" s="335"/>
    </row>
    <row r="31" spans="1:5" ht="90" customHeight="1" x14ac:dyDescent="0.25">
      <c r="A31" s="527" t="s">
        <v>163</v>
      </c>
      <c r="B31" s="527"/>
      <c r="C31" s="527"/>
      <c r="D31" s="527"/>
      <c r="E31" s="527"/>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O2" sqref="O2:O9"/>
    </sheetView>
  </sheetViews>
  <sheetFormatPr baseColWidth="10" defaultRowHeight="15" x14ac:dyDescent="0.25"/>
  <cols>
    <col min="1" max="1" width="8.85546875" style="384" customWidth="1"/>
    <col min="2" max="2" width="9.5703125" style="384" customWidth="1"/>
    <col min="3" max="3" width="8.42578125" style="384" customWidth="1"/>
    <col min="4" max="4" width="4.5703125" style="384" customWidth="1"/>
    <col min="5" max="5" width="8.28515625" style="384" customWidth="1"/>
    <col min="6" max="6" width="10.28515625" style="384" customWidth="1"/>
    <col min="7" max="12" width="4.5703125" style="384" customWidth="1"/>
    <col min="13" max="13" width="10.28515625" style="384" bestFit="1" customWidth="1"/>
    <col min="14" max="14" width="9" style="384" customWidth="1"/>
    <col min="15" max="15" width="12.28515625" style="384" bestFit="1" customWidth="1"/>
    <col min="16" max="16" width="15.28515625" style="386" customWidth="1"/>
    <col min="17" max="17" width="9.85546875" style="384" customWidth="1"/>
    <col min="18" max="18" width="13.42578125" style="384" bestFit="1" customWidth="1"/>
    <col min="19" max="19" width="17.140625" style="384" bestFit="1" customWidth="1"/>
    <col min="20" max="20" width="7.140625" style="384" customWidth="1"/>
    <col min="21" max="22" width="10.7109375" style="387" bestFit="1" customWidth="1"/>
    <col min="23" max="16384" width="11.42578125" style="384"/>
  </cols>
  <sheetData>
    <row r="1" spans="1:26" x14ac:dyDescent="0.25">
      <c r="A1" s="384" t="s">
        <v>384</v>
      </c>
      <c r="B1" s="384" t="s">
        <v>385</v>
      </c>
      <c r="C1" s="384" t="s">
        <v>386</v>
      </c>
      <c r="D1" s="384" t="s">
        <v>387</v>
      </c>
      <c r="E1" s="384" t="s">
        <v>388</v>
      </c>
      <c r="F1" s="384" t="s">
        <v>389</v>
      </c>
      <c r="G1" s="384" t="s">
        <v>390</v>
      </c>
      <c r="H1" s="384" t="s">
        <v>391</v>
      </c>
      <c r="I1" s="384" t="s">
        <v>392</v>
      </c>
      <c r="J1" s="384" t="s">
        <v>393</v>
      </c>
      <c r="K1" s="384" t="s">
        <v>394</v>
      </c>
      <c r="L1" s="384" t="s">
        <v>395</v>
      </c>
      <c r="M1" s="384" t="s">
        <v>396</v>
      </c>
      <c r="N1" s="384" t="s">
        <v>397</v>
      </c>
      <c r="O1" s="385" t="s">
        <v>398</v>
      </c>
      <c r="P1" s="386" t="s">
        <v>399</v>
      </c>
      <c r="Q1" s="384" t="s">
        <v>400</v>
      </c>
      <c r="R1" s="384" t="s">
        <v>401</v>
      </c>
      <c r="S1" s="384" t="s">
        <v>402</v>
      </c>
      <c r="T1" s="384" t="s">
        <v>403</v>
      </c>
      <c r="U1" s="387" t="s">
        <v>404</v>
      </c>
      <c r="V1" s="387" t="s">
        <v>405</v>
      </c>
    </row>
    <row r="2" spans="1:26" x14ac:dyDescent="0.25">
      <c r="A2" s="408" t="s">
        <v>406</v>
      </c>
      <c r="B2" s="408">
        <v>543</v>
      </c>
      <c r="C2" s="408" t="s">
        <v>407</v>
      </c>
      <c r="D2" s="408"/>
      <c r="E2" s="408"/>
      <c r="F2" s="408" t="s">
        <v>174</v>
      </c>
      <c r="G2" s="408"/>
      <c r="H2" s="408"/>
      <c r="I2" s="408"/>
      <c r="J2" s="408"/>
      <c r="K2" s="408"/>
      <c r="L2" s="408"/>
      <c r="M2" s="453" t="str">
        <f>+'Calculo IP ZDF'!I25</f>
        <v>Z61</v>
      </c>
      <c r="N2" s="408"/>
      <c r="O2" s="389">
        <f>+'Calculo IP ZDF'!B43</f>
        <v>30000002129</v>
      </c>
      <c r="P2" s="454">
        <f>ROUND('Calculo IP ZDF'!D25,2)</f>
        <v>4010.8</v>
      </c>
      <c r="Q2" s="408" t="s">
        <v>408</v>
      </c>
      <c r="R2" s="408">
        <v>1</v>
      </c>
      <c r="S2" s="408" t="s">
        <v>409</v>
      </c>
      <c r="T2" s="408" t="s">
        <v>410</v>
      </c>
      <c r="U2" s="388" t="str">
        <f>+'Calculo IP ZDF'!B40</f>
        <v>16.12.2020</v>
      </c>
      <c r="V2" s="388" t="str">
        <f>+'Calculo IP ZDF'!C40</f>
        <v>20.01.2021</v>
      </c>
      <c r="X2" s="384">
        <v>4242.59</v>
      </c>
      <c r="Y2" s="384">
        <f>+P2-X2</f>
        <v>-231.78999999999996</v>
      </c>
      <c r="Z2" s="491" t="s">
        <v>461</v>
      </c>
    </row>
    <row r="3" spans="1:26" x14ac:dyDescent="0.25">
      <c r="A3" s="384" t="s">
        <v>406</v>
      </c>
      <c r="B3" s="384">
        <v>543</v>
      </c>
      <c r="C3" s="384" t="s">
        <v>407</v>
      </c>
      <c r="F3" s="384" t="s">
        <v>174</v>
      </c>
      <c r="M3" s="390" t="str">
        <f>+'Calculo IP ZDF'!I26</f>
        <v>Z68</v>
      </c>
      <c r="O3" s="389">
        <f>+O2</f>
        <v>30000002129</v>
      </c>
      <c r="P3" s="385">
        <f>ROUND('Calculo IP ZDF'!D26,2)</f>
        <v>3742.61</v>
      </c>
      <c r="Q3" s="384" t="s">
        <v>408</v>
      </c>
      <c r="R3" s="384">
        <v>1</v>
      </c>
      <c r="S3" s="384" t="s">
        <v>409</v>
      </c>
      <c r="T3" s="384" t="s">
        <v>410</v>
      </c>
      <c r="U3" s="388" t="str">
        <f>+U2</f>
        <v>16.12.2020</v>
      </c>
      <c r="V3" s="388" t="str">
        <f>+V2</f>
        <v>20.01.2021</v>
      </c>
      <c r="X3" s="384">
        <v>4026.31</v>
      </c>
      <c r="Y3" s="384">
        <f t="shared" ref="Y3:Y46" si="0">+P3-X3</f>
        <v>-283.69999999999982</v>
      </c>
      <c r="Z3" s="491" t="s">
        <v>461</v>
      </c>
    </row>
    <row r="4" spans="1:26" x14ac:dyDescent="0.25">
      <c r="A4" s="384" t="s">
        <v>406</v>
      </c>
      <c r="B4" s="384">
        <v>543</v>
      </c>
      <c r="C4" s="384" t="s">
        <v>407</v>
      </c>
      <c r="M4" s="390" t="str">
        <f>+'Calculo IP ZDF'!I27</f>
        <v>Z67</v>
      </c>
      <c r="O4" s="389">
        <f t="shared" ref="O4:O27" si="1">+O3</f>
        <v>30000002129</v>
      </c>
      <c r="P4" s="385">
        <f>ROUND('Calculo IP ZDF'!D27,2)</f>
        <v>3968.06</v>
      </c>
      <c r="Q4" s="384" t="s">
        <v>408</v>
      </c>
      <c r="R4" s="384">
        <v>1</v>
      </c>
      <c r="S4" s="384" t="s">
        <v>409</v>
      </c>
      <c r="T4" s="384" t="s">
        <v>410</v>
      </c>
      <c r="U4" s="388" t="str">
        <f t="shared" ref="U4:V20" si="2">+U3</f>
        <v>16.12.2020</v>
      </c>
      <c r="V4" s="388" t="str">
        <f t="shared" si="2"/>
        <v>20.01.2021</v>
      </c>
      <c r="X4" s="384">
        <v>4147.91</v>
      </c>
      <c r="Y4" s="384">
        <f t="shared" si="0"/>
        <v>-179.84999999999991</v>
      </c>
      <c r="Z4" s="491" t="s">
        <v>461</v>
      </c>
    </row>
    <row r="5" spans="1:26" x14ac:dyDescent="0.25">
      <c r="A5" s="446" t="s">
        <v>406</v>
      </c>
      <c r="B5" s="446">
        <v>543</v>
      </c>
      <c r="C5" s="446" t="s">
        <v>407</v>
      </c>
      <c r="D5" s="446"/>
      <c r="E5" s="446"/>
      <c r="F5" s="446"/>
      <c r="G5" s="446"/>
      <c r="H5" s="446"/>
      <c r="I5" s="446"/>
      <c r="J5" s="446"/>
      <c r="K5" s="446"/>
      <c r="L5" s="446"/>
      <c r="M5" s="445" t="str">
        <f>+'Calculo IP ZDF'!I28</f>
        <v xml:space="preserve">Z64  </v>
      </c>
      <c r="N5" s="446"/>
      <c r="O5" s="447">
        <f t="shared" si="1"/>
        <v>30000002129</v>
      </c>
      <c r="P5" s="448">
        <f>ROUND('Calculo IP ZDF'!D28,2)</f>
        <v>4190.58</v>
      </c>
      <c r="Q5" s="446" t="s">
        <v>408</v>
      </c>
      <c r="R5" s="446">
        <v>1</v>
      </c>
      <c r="S5" s="446" t="s">
        <v>409</v>
      </c>
      <c r="T5" s="446" t="s">
        <v>410</v>
      </c>
      <c r="U5" s="449" t="str">
        <f t="shared" si="2"/>
        <v>16.12.2020</v>
      </c>
      <c r="V5" s="449" t="str">
        <f t="shared" si="2"/>
        <v>20.01.2021</v>
      </c>
      <c r="X5" s="384">
        <v>4618.07</v>
      </c>
      <c r="Y5" s="384">
        <f t="shared" si="0"/>
        <v>-427.48999999999978</v>
      </c>
      <c r="Z5" s="491" t="s">
        <v>461</v>
      </c>
    </row>
    <row r="6" spans="1:26" x14ac:dyDescent="0.25">
      <c r="A6" s="384" t="s">
        <v>406</v>
      </c>
      <c r="B6" s="384">
        <v>543</v>
      </c>
      <c r="C6" s="384" t="s">
        <v>407</v>
      </c>
      <c r="M6" s="390" t="s">
        <v>448</v>
      </c>
      <c r="O6" s="389">
        <f t="shared" si="1"/>
        <v>30000002129</v>
      </c>
      <c r="P6" s="385">
        <f>ROUND('Calculo IP ZDF'!D29,2)</f>
        <v>3849.46</v>
      </c>
      <c r="Q6" s="384" t="s">
        <v>408</v>
      </c>
      <c r="R6" s="384">
        <v>1</v>
      </c>
      <c r="S6" s="384" t="s">
        <v>409</v>
      </c>
      <c r="T6" s="384" t="s">
        <v>410</v>
      </c>
      <c r="U6" s="388" t="str">
        <f t="shared" si="2"/>
        <v>16.12.2020</v>
      </c>
      <c r="V6" s="388" t="str">
        <f t="shared" si="2"/>
        <v>20.01.2021</v>
      </c>
      <c r="X6" s="384">
        <v>4029.1</v>
      </c>
      <c r="Y6" s="384">
        <f t="shared" si="0"/>
        <v>-179.63999999999987</v>
      </c>
      <c r="Z6" s="491" t="s">
        <v>461</v>
      </c>
    </row>
    <row r="7" spans="1:26" x14ac:dyDescent="0.25">
      <c r="A7" s="384" t="s">
        <v>406</v>
      </c>
      <c r="B7" s="384">
        <v>543</v>
      </c>
      <c r="C7" s="384" t="s">
        <v>407</v>
      </c>
      <c r="M7" s="390" t="str">
        <f>+'Calculo IP ZDF'!I30</f>
        <v>Z65</v>
      </c>
      <c r="O7" s="389">
        <f t="shared" si="1"/>
        <v>30000002129</v>
      </c>
      <c r="P7" s="385">
        <f>ROUND('Calculo IP ZDF'!D30,2)</f>
        <v>4190.58</v>
      </c>
      <c r="Q7" s="384" t="s">
        <v>408</v>
      </c>
      <c r="R7" s="384">
        <v>1</v>
      </c>
      <c r="S7" s="384" t="s">
        <v>409</v>
      </c>
      <c r="T7" s="384" t="s">
        <v>410</v>
      </c>
      <c r="U7" s="388" t="str">
        <f t="shared" si="2"/>
        <v>16.12.2020</v>
      </c>
      <c r="V7" s="388" t="str">
        <f t="shared" si="2"/>
        <v>20.01.2021</v>
      </c>
      <c r="X7" s="384">
        <v>4618.07</v>
      </c>
      <c r="Y7" s="384">
        <f t="shared" si="0"/>
        <v>-427.48999999999978</v>
      </c>
      <c r="Z7" s="491" t="s">
        <v>461</v>
      </c>
    </row>
    <row r="8" spans="1:26" x14ac:dyDescent="0.25">
      <c r="A8" s="384" t="s">
        <v>406</v>
      </c>
      <c r="B8" s="384">
        <v>543</v>
      </c>
      <c r="C8" s="384" t="s">
        <v>407</v>
      </c>
      <c r="M8" s="390" t="str">
        <f>+'Calculo IP ZDF'!I31</f>
        <v>Z69</v>
      </c>
      <c r="O8" s="389">
        <f t="shared" si="1"/>
        <v>30000002129</v>
      </c>
      <c r="P8" s="385">
        <f>ROUND('Calculo IP ZDF'!D31,2)</f>
        <v>4087.91</v>
      </c>
      <c r="Q8" s="384" t="s">
        <v>408</v>
      </c>
      <c r="R8" s="384">
        <v>1</v>
      </c>
      <c r="S8" s="384" t="s">
        <v>409</v>
      </c>
      <c r="T8" s="384" t="s">
        <v>410</v>
      </c>
      <c r="U8" s="388" t="str">
        <f t="shared" si="2"/>
        <v>16.12.2020</v>
      </c>
      <c r="V8" s="388" t="str">
        <f t="shared" si="2"/>
        <v>20.01.2021</v>
      </c>
      <c r="X8" s="384">
        <v>4413.8599999999997</v>
      </c>
      <c r="Y8" s="384">
        <f t="shared" si="0"/>
        <v>-325.94999999999982</v>
      </c>
      <c r="Z8" s="491" t="s">
        <v>461</v>
      </c>
    </row>
    <row r="9" spans="1:26" x14ac:dyDescent="0.25">
      <c r="A9" s="384" t="s">
        <v>406</v>
      </c>
      <c r="B9" s="384">
        <v>543</v>
      </c>
      <c r="C9" s="384" t="s">
        <v>407</v>
      </c>
      <c r="M9" s="390" t="str">
        <f>+'Calculo IP ZDF'!I33</f>
        <v>Z62</v>
      </c>
      <c r="O9" s="389">
        <f>+O8</f>
        <v>30000002129</v>
      </c>
      <c r="P9" s="385">
        <f>ROUND('Calculo IP ZDF'!D33,2)</f>
        <v>4077.01</v>
      </c>
      <c r="Q9" s="384" t="s">
        <v>408</v>
      </c>
      <c r="R9" s="384">
        <v>1</v>
      </c>
      <c r="S9" s="384" t="s">
        <v>409</v>
      </c>
      <c r="T9" s="384" t="s">
        <v>410</v>
      </c>
      <c r="U9" s="388" t="str">
        <f>+U8</f>
        <v>16.12.2020</v>
      </c>
      <c r="V9" s="388" t="str">
        <f>+V8</f>
        <v>20.01.2021</v>
      </c>
      <c r="X9" s="384">
        <v>4406.43</v>
      </c>
      <c r="Y9" s="384">
        <f t="shared" si="0"/>
        <v>-329.42000000000007</v>
      </c>
      <c r="Z9" s="491" t="s">
        <v>461</v>
      </c>
    </row>
    <row r="10" spans="1:26" s="398" customFormat="1" x14ac:dyDescent="0.25">
      <c r="A10" s="398" t="s">
        <v>406</v>
      </c>
      <c r="B10" s="398">
        <v>543</v>
      </c>
      <c r="C10" s="398" t="s">
        <v>407</v>
      </c>
      <c r="M10" s="399" t="str">
        <f>+M9</f>
        <v>Z62</v>
      </c>
      <c r="O10" s="400">
        <f>+'Calculo IP ZDF'!B45</f>
        <v>30000009250</v>
      </c>
      <c r="P10" s="401">
        <f>+P9</f>
        <v>4077.01</v>
      </c>
      <c r="Q10" s="398" t="s">
        <v>408</v>
      </c>
      <c r="R10" s="398">
        <v>1</v>
      </c>
      <c r="S10" s="398" t="s">
        <v>409</v>
      </c>
      <c r="T10" s="398" t="s">
        <v>410</v>
      </c>
      <c r="U10" s="402" t="str">
        <f>+U9</f>
        <v>16.12.2020</v>
      </c>
      <c r="V10" s="402" t="str">
        <f>+V9</f>
        <v>20.01.2021</v>
      </c>
      <c r="X10" s="398">
        <v>4406.43</v>
      </c>
      <c r="Y10" s="384">
        <f t="shared" si="0"/>
        <v>-329.42000000000007</v>
      </c>
      <c r="Z10" s="398" t="s">
        <v>461</v>
      </c>
    </row>
    <row r="11" spans="1:26" x14ac:dyDescent="0.25">
      <c r="A11" s="384" t="s">
        <v>406</v>
      </c>
      <c r="B11" s="384">
        <v>543</v>
      </c>
      <c r="C11" s="384" t="s">
        <v>407</v>
      </c>
      <c r="M11" s="390" t="str">
        <f>+'Calculo IP ZDF'!I34</f>
        <v>Z60</v>
      </c>
      <c r="O11" s="389">
        <f>+O2</f>
        <v>30000002129</v>
      </c>
      <c r="P11" s="385">
        <f>ROUND('Calculo IP ZDF'!D34,2)</f>
        <v>4141.55</v>
      </c>
      <c r="Q11" s="384" t="s">
        <v>408</v>
      </c>
      <c r="R11" s="384">
        <v>1</v>
      </c>
      <c r="S11" s="384" t="s">
        <v>409</v>
      </c>
      <c r="T11" s="384" t="s">
        <v>410</v>
      </c>
      <c r="U11" s="388" t="str">
        <f>+U9</f>
        <v>16.12.2020</v>
      </c>
      <c r="V11" s="388" t="str">
        <f>+V9</f>
        <v>20.01.2021</v>
      </c>
      <c r="X11" s="384">
        <v>4334.03</v>
      </c>
      <c r="Y11" s="384">
        <f t="shared" si="0"/>
        <v>-192.47999999999956</v>
      </c>
      <c r="Z11" s="491" t="s">
        <v>461</v>
      </c>
    </row>
    <row r="12" spans="1:26" x14ac:dyDescent="0.25">
      <c r="A12" s="408" t="s">
        <v>406</v>
      </c>
      <c r="B12" s="408">
        <v>543</v>
      </c>
      <c r="C12" s="408" t="s">
        <v>407</v>
      </c>
      <c r="D12" s="408"/>
      <c r="E12" s="408"/>
      <c r="F12" s="408"/>
      <c r="G12" s="408"/>
      <c r="H12" s="408"/>
      <c r="I12" s="408"/>
      <c r="J12" s="408"/>
      <c r="K12" s="408"/>
      <c r="L12" s="408"/>
      <c r="M12" s="453" t="str">
        <f>+'Calculo IP ZDF'!I35</f>
        <v>Z63</v>
      </c>
      <c r="N12" s="408"/>
      <c r="O12" s="389">
        <f t="shared" si="1"/>
        <v>30000002129</v>
      </c>
      <c r="P12" s="454">
        <f>ROUND('Calculo IP ZDF'!D35,2)</f>
        <v>4081.2</v>
      </c>
      <c r="Q12" s="408" t="s">
        <v>408</v>
      </c>
      <c r="R12" s="408">
        <v>1</v>
      </c>
      <c r="S12" s="408" t="s">
        <v>409</v>
      </c>
      <c r="T12" s="408" t="s">
        <v>410</v>
      </c>
      <c r="U12" s="388" t="str">
        <f>+U11</f>
        <v>16.12.2020</v>
      </c>
      <c r="V12" s="388" t="str">
        <f>+'Calculo IP ZDF'!C40</f>
        <v>20.01.2021</v>
      </c>
      <c r="X12" s="384">
        <v>4399.01</v>
      </c>
      <c r="Y12" s="384">
        <f t="shared" si="0"/>
        <v>-317.8100000000004</v>
      </c>
      <c r="Z12" s="491" t="s">
        <v>461</v>
      </c>
    </row>
    <row r="13" spans="1:26" x14ac:dyDescent="0.25">
      <c r="A13" s="384" t="s">
        <v>406</v>
      </c>
      <c r="B13" s="384">
        <v>543</v>
      </c>
      <c r="C13" s="384" t="s">
        <v>407</v>
      </c>
      <c r="M13" s="390" t="str">
        <f>+'Calculo IP ZDF'!I36</f>
        <v>Z70</v>
      </c>
      <c r="O13" s="389">
        <f t="shared" si="1"/>
        <v>30000002129</v>
      </c>
      <c r="P13" s="385">
        <f>ROUND('Calculo IP ZDF'!D36,2)</f>
        <v>4190.58</v>
      </c>
      <c r="Q13" s="384" t="s">
        <v>408</v>
      </c>
      <c r="R13" s="384">
        <v>1</v>
      </c>
      <c r="S13" s="384" t="s">
        <v>409</v>
      </c>
      <c r="T13" s="384" t="s">
        <v>410</v>
      </c>
      <c r="U13" s="388" t="str">
        <f t="shared" si="2"/>
        <v>16.12.2020</v>
      </c>
      <c r="V13" s="388" t="str">
        <f t="shared" si="2"/>
        <v>20.01.2021</v>
      </c>
      <c r="X13" s="384">
        <v>4618.07</v>
      </c>
      <c r="Y13" s="384">
        <f t="shared" si="0"/>
        <v>-427.48999999999978</v>
      </c>
      <c r="Z13" s="491" t="s">
        <v>461</v>
      </c>
    </row>
    <row r="14" spans="1:26" x14ac:dyDescent="0.25">
      <c r="A14" s="384" t="s">
        <v>406</v>
      </c>
      <c r="B14" s="384">
        <v>543</v>
      </c>
      <c r="C14" s="384" t="s">
        <v>407</v>
      </c>
      <c r="M14" s="390" t="str">
        <f>+'Calculo IP ZDF'!I37</f>
        <v>Z75</v>
      </c>
      <c r="O14" s="389">
        <f t="shared" si="1"/>
        <v>30000002129</v>
      </c>
      <c r="P14" s="385">
        <f>ROUND('Calculo IP ZDF'!D37,2)</f>
        <v>3733.8</v>
      </c>
      <c r="Q14" s="384" t="s">
        <v>408</v>
      </c>
      <c r="R14" s="384">
        <v>1</v>
      </c>
      <c r="S14" s="384" t="s">
        <v>409</v>
      </c>
      <c r="T14" s="384" t="s">
        <v>410</v>
      </c>
      <c r="U14" s="388" t="str">
        <f t="shared" si="2"/>
        <v>16.12.2020</v>
      </c>
      <c r="V14" s="388" t="str">
        <f t="shared" si="2"/>
        <v>20.01.2021</v>
      </c>
      <c r="X14" s="384">
        <v>4017.03</v>
      </c>
      <c r="Y14" s="384">
        <f t="shared" si="0"/>
        <v>-283.23</v>
      </c>
      <c r="Z14" s="491" t="s">
        <v>461</v>
      </c>
    </row>
    <row r="15" spans="1:26" x14ac:dyDescent="0.25">
      <c r="A15" s="408" t="s">
        <v>411</v>
      </c>
      <c r="B15" s="408">
        <v>543</v>
      </c>
      <c r="C15" s="408" t="s">
        <v>407</v>
      </c>
      <c r="D15" s="408"/>
      <c r="E15" s="408"/>
      <c r="F15" s="408"/>
      <c r="G15" s="408"/>
      <c r="H15" s="408"/>
      <c r="I15" s="408"/>
      <c r="J15" s="408"/>
      <c r="K15" s="408"/>
      <c r="L15" s="408"/>
      <c r="M15" s="453" t="str">
        <f>+'Calculo IP ZDF'!I25</f>
        <v>Z61</v>
      </c>
      <c r="N15" s="408"/>
      <c r="O15" s="389">
        <f t="shared" si="1"/>
        <v>30000002129</v>
      </c>
      <c r="P15" s="455">
        <f>ROUND('Calculo IP ZDF'!E25,2)</f>
        <v>283.62</v>
      </c>
      <c r="Q15" s="408" t="s">
        <v>408</v>
      </c>
      <c r="R15" s="408">
        <v>1</v>
      </c>
      <c r="S15" s="408" t="s">
        <v>409</v>
      </c>
      <c r="T15" s="408" t="s">
        <v>410</v>
      </c>
      <c r="U15" s="388" t="str">
        <f>+U14</f>
        <v>16.12.2020</v>
      </c>
      <c r="V15" s="388" t="str">
        <f>+V12</f>
        <v>20.01.2021</v>
      </c>
      <c r="X15" s="384">
        <v>230.3</v>
      </c>
      <c r="Y15" s="384">
        <f t="shared" si="0"/>
        <v>53.319999999999993</v>
      </c>
      <c r="Z15" s="491" t="s">
        <v>461</v>
      </c>
    </row>
    <row r="16" spans="1:26" x14ac:dyDescent="0.25">
      <c r="A16" s="384" t="s">
        <v>411</v>
      </c>
      <c r="B16" s="384">
        <v>543</v>
      </c>
      <c r="C16" s="384" t="s">
        <v>407</v>
      </c>
      <c r="M16" s="390" t="str">
        <f>+'Calculo IP ZDF'!I26</f>
        <v>Z68</v>
      </c>
      <c r="O16" s="389">
        <f t="shared" si="1"/>
        <v>30000002129</v>
      </c>
      <c r="P16" s="386">
        <f>ROUND('Calculo IP ZDF'!E26,2)</f>
        <v>283.62</v>
      </c>
      <c r="Q16" s="384" t="s">
        <v>408</v>
      </c>
      <c r="R16" s="384">
        <v>1</v>
      </c>
      <c r="S16" s="384" t="s">
        <v>409</v>
      </c>
      <c r="T16" s="384" t="s">
        <v>410</v>
      </c>
      <c r="U16" s="388" t="str">
        <f t="shared" si="2"/>
        <v>16.12.2020</v>
      </c>
      <c r="V16" s="388" t="str">
        <f t="shared" si="2"/>
        <v>20.01.2021</v>
      </c>
      <c r="X16" s="384">
        <v>230.3</v>
      </c>
      <c r="Y16" s="384">
        <f t="shared" si="0"/>
        <v>53.319999999999993</v>
      </c>
      <c r="Z16" s="491" t="s">
        <v>461</v>
      </c>
    </row>
    <row r="17" spans="1:26" x14ac:dyDescent="0.25">
      <c r="A17" s="384" t="s">
        <v>411</v>
      </c>
      <c r="B17" s="384">
        <v>543</v>
      </c>
      <c r="C17" s="384" t="s">
        <v>407</v>
      </c>
      <c r="M17" s="390" t="str">
        <f>+'Calculo IP ZDF'!I27</f>
        <v>Z67</v>
      </c>
      <c r="O17" s="389">
        <f t="shared" si="1"/>
        <v>30000002129</v>
      </c>
      <c r="P17" s="386">
        <f>ROUND('Calculo IP ZDF'!E27,2)</f>
        <v>283.62</v>
      </c>
      <c r="Q17" s="384" t="s">
        <v>408</v>
      </c>
      <c r="R17" s="384">
        <v>1</v>
      </c>
      <c r="S17" s="384" t="s">
        <v>409</v>
      </c>
      <c r="T17" s="384" t="s">
        <v>410</v>
      </c>
      <c r="U17" s="388" t="str">
        <f t="shared" si="2"/>
        <v>16.12.2020</v>
      </c>
      <c r="V17" s="388" t="str">
        <f t="shared" si="2"/>
        <v>20.01.2021</v>
      </c>
      <c r="X17" s="384">
        <v>230.3</v>
      </c>
      <c r="Y17" s="384">
        <f t="shared" si="0"/>
        <v>53.319999999999993</v>
      </c>
      <c r="Z17" s="491" t="s">
        <v>461</v>
      </c>
    </row>
    <row r="18" spans="1:26" x14ac:dyDescent="0.25">
      <c r="A18" s="446" t="s">
        <v>411</v>
      </c>
      <c r="B18" s="446">
        <v>543</v>
      </c>
      <c r="C18" s="446" t="s">
        <v>407</v>
      </c>
      <c r="D18" s="446"/>
      <c r="E18" s="446"/>
      <c r="F18" s="446"/>
      <c r="G18" s="446"/>
      <c r="H18" s="446"/>
      <c r="I18" s="446"/>
      <c r="J18" s="446"/>
      <c r="K18" s="446"/>
      <c r="L18" s="446"/>
      <c r="M18" s="445" t="str">
        <f>+M5</f>
        <v xml:space="preserve">Z64  </v>
      </c>
      <c r="N18" s="446"/>
      <c r="O18" s="447">
        <f t="shared" si="1"/>
        <v>30000002129</v>
      </c>
      <c r="P18" s="409">
        <f>ROUND('Calculo IP ZDF'!E28,2)</f>
        <v>283.62</v>
      </c>
      <c r="Q18" s="446" t="s">
        <v>408</v>
      </c>
      <c r="R18" s="446">
        <v>1</v>
      </c>
      <c r="S18" s="446" t="s">
        <v>409</v>
      </c>
      <c r="T18" s="446" t="s">
        <v>410</v>
      </c>
      <c r="U18" s="449" t="str">
        <f t="shared" si="2"/>
        <v>16.12.2020</v>
      </c>
      <c r="V18" s="449" t="str">
        <f t="shared" si="2"/>
        <v>20.01.2021</v>
      </c>
      <c r="X18" s="384">
        <v>230.3</v>
      </c>
      <c r="Y18" s="384">
        <f t="shared" si="0"/>
        <v>53.319999999999993</v>
      </c>
      <c r="Z18" s="491" t="s">
        <v>461</v>
      </c>
    </row>
    <row r="19" spans="1:26" x14ac:dyDescent="0.25">
      <c r="A19" s="384" t="s">
        <v>411</v>
      </c>
      <c r="B19" s="384">
        <v>543</v>
      </c>
      <c r="C19" s="384" t="s">
        <v>407</v>
      </c>
      <c r="M19" s="390" t="str">
        <f>+M6</f>
        <v>Z74</v>
      </c>
      <c r="O19" s="389">
        <f t="shared" si="1"/>
        <v>30000002129</v>
      </c>
      <c r="P19" s="386">
        <f>ROUND('Calculo IP ZDF'!E29,2)</f>
        <v>283.62</v>
      </c>
      <c r="Q19" s="384" t="s">
        <v>408</v>
      </c>
      <c r="R19" s="384">
        <v>1</v>
      </c>
      <c r="S19" s="384" t="s">
        <v>409</v>
      </c>
      <c r="T19" s="384" t="s">
        <v>410</v>
      </c>
      <c r="U19" s="388" t="str">
        <f t="shared" si="2"/>
        <v>16.12.2020</v>
      </c>
      <c r="V19" s="388" t="str">
        <f t="shared" si="2"/>
        <v>20.01.2021</v>
      </c>
      <c r="X19" s="384">
        <v>230.3</v>
      </c>
      <c r="Y19" s="384">
        <f t="shared" si="0"/>
        <v>53.319999999999993</v>
      </c>
      <c r="Z19" s="491" t="s">
        <v>461</v>
      </c>
    </row>
    <row r="20" spans="1:26" x14ac:dyDescent="0.25">
      <c r="A20" s="384" t="s">
        <v>411</v>
      </c>
      <c r="B20" s="384">
        <v>543</v>
      </c>
      <c r="C20" s="384" t="s">
        <v>407</v>
      </c>
      <c r="M20" s="390" t="str">
        <f>+'Calculo IP ZDF'!I30</f>
        <v>Z65</v>
      </c>
      <c r="O20" s="389">
        <f t="shared" si="1"/>
        <v>30000002129</v>
      </c>
      <c r="P20" s="386">
        <f>ROUND('Calculo IP ZDF'!E30,2)</f>
        <v>283.62</v>
      </c>
      <c r="Q20" s="384" t="s">
        <v>408</v>
      </c>
      <c r="R20" s="384">
        <v>1</v>
      </c>
      <c r="S20" s="384" t="s">
        <v>409</v>
      </c>
      <c r="T20" s="384" t="s">
        <v>410</v>
      </c>
      <c r="U20" s="388" t="str">
        <f t="shared" si="2"/>
        <v>16.12.2020</v>
      </c>
      <c r="V20" s="388" t="str">
        <f t="shared" si="2"/>
        <v>20.01.2021</v>
      </c>
      <c r="X20" s="384">
        <v>230.3</v>
      </c>
      <c r="Y20" s="384">
        <f t="shared" si="0"/>
        <v>53.319999999999993</v>
      </c>
      <c r="Z20" s="491" t="s">
        <v>461</v>
      </c>
    </row>
    <row r="21" spans="1:26" x14ac:dyDescent="0.25">
      <c r="A21" s="384" t="s">
        <v>411</v>
      </c>
      <c r="B21" s="384">
        <v>543</v>
      </c>
      <c r="C21" s="384" t="s">
        <v>407</v>
      </c>
      <c r="M21" s="390" t="str">
        <f>+'Calculo IP ZDF'!I31</f>
        <v>Z69</v>
      </c>
      <c r="O21" s="389">
        <f t="shared" si="1"/>
        <v>30000002129</v>
      </c>
      <c r="P21" s="386">
        <f>ROUND('Calculo IP ZDF'!E31,2)</f>
        <v>283.62</v>
      </c>
      <c r="Q21" s="384" t="s">
        <v>408</v>
      </c>
      <c r="R21" s="384">
        <v>1</v>
      </c>
      <c r="S21" s="384" t="s">
        <v>409</v>
      </c>
      <c r="T21" s="384" t="s">
        <v>410</v>
      </c>
      <c r="U21" s="388" t="str">
        <f t="shared" ref="U21:V36" si="3">+U20</f>
        <v>16.12.2020</v>
      </c>
      <c r="V21" s="388" t="str">
        <f t="shared" si="3"/>
        <v>20.01.2021</v>
      </c>
      <c r="X21" s="384">
        <v>230.3</v>
      </c>
      <c r="Y21" s="384">
        <f t="shared" si="0"/>
        <v>53.319999999999993</v>
      </c>
      <c r="Z21" s="491" t="s">
        <v>461</v>
      </c>
    </row>
    <row r="22" spans="1:26" x14ac:dyDescent="0.25">
      <c r="A22" s="384" t="s">
        <v>411</v>
      </c>
      <c r="B22" s="384">
        <v>543</v>
      </c>
      <c r="C22" s="384" t="s">
        <v>407</v>
      </c>
      <c r="M22" s="390" t="str">
        <f>+'Calculo IP ZDF'!I33</f>
        <v>Z62</v>
      </c>
      <c r="O22" s="389">
        <f t="shared" si="1"/>
        <v>30000002129</v>
      </c>
      <c r="P22" s="386">
        <f>ROUND('Calculo IP ZDF'!E33,2)</f>
        <v>283.62</v>
      </c>
      <c r="Q22" s="384" t="s">
        <v>408</v>
      </c>
      <c r="R22" s="384">
        <v>1</v>
      </c>
      <c r="S22" s="384" t="s">
        <v>409</v>
      </c>
      <c r="T22" s="384" t="s">
        <v>410</v>
      </c>
      <c r="U22" s="388" t="str">
        <f>+U21</f>
        <v>16.12.2020</v>
      </c>
      <c r="V22" s="388" t="str">
        <f>+V21</f>
        <v>20.01.2021</v>
      </c>
      <c r="X22" s="384">
        <v>230.3</v>
      </c>
      <c r="Y22" s="384">
        <f t="shared" si="0"/>
        <v>53.319999999999993</v>
      </c>
      <c r="Z22" s="491" t="s">
        <v>461</v>
      </c>
    </row>
    <row r="23" spans="1:26" s="398" customFormat="1" x14ac:dyDescent="0.25">
      <c r="A23" s="398" t="s">
        <v>411</v>
      </c>
      <c r="B23" s="398">
        <v>543</v>
      </c>
      <c r="C23" s="398" t="s">
        <v>407</v>
      </c>
      <c r="M23" s="399" t="str">
        <f>+M22</f>
        <v>Z62</v>
      </c>
      <c r="O23" s="403">
        <f>+O10</f>
        <v>30000009250</v>
      </c>
      <c r="P23" s="404">
        <f>ROUND('Calculo IP ZDF'!E34,2)</f>
        <v>283.62</v>
      </c>
      <c r="Q23" s="398" t="s">
        <v>408</v>
      </c>
      <c r="R23" s="398">
        <v>1</v>
      </c>
      <c r="S23" s="398" t="s">
        <v>409</v>
      </c>
      <c r="T23" s="398" t="s">
        <v>410</v>
      </c>
      <c r="U23" s="402" t="str">
        <f>+U22</f>
        <v>16.12.2020</v>
      </c>
      <c r="V23" s="402" t="str">
        <f>+V22</f>
        <v>20.01.2021</v>
      </c>
      <c r="X23" s="398">
        <v>230.3</v>
      </c>
      <c r="Y23" s="384">
        <f t="shared" si="0"/>
        <v>53.319999999999993</v>
      </c>
      <c r="Z23" s="398" t="s">
        <v>461</v>
      </c>
    </row>
    <row r="24" spans="1:26" x14ac:dyDescent="0.25">
      <c r="A24" s="384" t="s">
        <v>411</v>
      </c>
      <c r="B24" s="384">
        <v>543</v>
      </c>
      <c r="C24" s="384" t="s">
        <v>407</v>
      </c>
      <c r="M24" s="390" t="str">
        <f>+'Calculo IP ZDF'!I34</f>
        <v>Z60</v>
      </c>
      <c r="O24" s="389">
        <f>+O22</f>
        <v>30000002129</v>
      </c>
      <c r="P24" s="386">
        <f>ROUND('Calculo IP ZDF'!E34,2)</f>
        <v>283.62</v>
      </c>
      <c r="Q24" s="384" t="s">
        <v>408</v>
      </c>
      <c r="R24" s="384">
        <v>1</v>
      </c>
      <c r="S24" s="384" t="s">
        <v>409</v>
      </c>
      <c r="T24" s="384" t="s">
        <v>410</v>
      </c>
      <c r="U24" s="388" t="str">
        <f>+U22</f>
        <v>16.12.2020</v>
      </c>
      <c r="V24" s="388" t="str">
        <f>+V22</f>
        <v>20.01.2021</v>
      </c>
      <c r="X24" s="384">
        <v>230.3</v>
      </c>
      <c r="Y24" s="384">
        <f t="shared" si="0"/>
        <v>53.319999999999993</v>
      </c>
      <c r="Z24" s="491" t="s">
        <v>461</v>
      </c>
    </row>
    <row r="25" spans="1:26" x14ac:dyDescent="0.25">
      <c r="A25" s="408" t="s">
        <v>411</v>
      </c>
      <c r="B25" s="408">
        <v>543</v>
      </c>
      <c r="C25" s="408" t="s">
        <v>407</v>
      </c>
      <c r="D25" s="408"/>
      <c r="E25" s="408"/>
      <c r="F25" s="408"/>
      <c r="G25" s="408"/>
      <c r="H25" s="408"/>
      <c r="I25" s="408"/>
      <c r="J25" s="408"/>
      <c r="K25" s="408"/>
      <c r="L25" s="408"/>
      <c r="M25" s="453" t="str">
        <f>+'Calculo IP ZDF'!I35</f>
        <v>Z63</v>
      </c>
      <c r="N25" s="408"/>
      <c r="O25" s="389">
        <f t="shared" si="1"/>
        <v>30000002129</v>
      </c>
      <c r="P25" s="455">
        <f>ROUND('Calculo IP ZDF'!E35,2)</f>
        <v>283.62</v>
      </c>
      <c r="Q25" s="408" t="s">
        <v>408</v>
      </c>
      <c r="R25" s="408">
        <v>1</v>
      </c>
      <c r="S25" s="408" t="s">
        <v>409</v>
      </c>
      <c r="T25" s="408" t="s">
        <v>410</v>
      </c>
      <c r="U25" s="388" t="str">
        <f>+U24</f>
        <v>16.12.2020</v>
      </c>
      <c r="V25" s="388" t="str">
        <f>+V15</f>
        <v>20.01.2021</v>
      </c>
      <c r="X25" s="384">
        <v>230.3</v>
      </c>
      <c r="Y25" s="384">
        <f t="shared" si="0"/>
        <v>53.319999999999993</v>
      </c>
      <c r="Z25" s="491" t="s">
        <v>461</v>
      </c>
    </row>
    <row r="26" spans="1:26" x14ac:dyDescent="0.25">
      <c r="A26" s="384" t="s">
        <v>411</v>
      </c>
      <c r="B26" s="384">
        <v>543</v>
      </c>
      <c r="C26" s="384" t="s">
        <v>407</v>
      </c>
      <c r="M26" s="390" t="str">
        <f>+'Calculo IP ZDF'!I36</f>
        <v>Z70</v>
      </c>
      <c r="O26" s="389">
        <f t="shared" si="1"/>
        <v>30000002129</v>
      </c>
      <c r="P26" s="386">
        <f>ROUND('Calculo IP ZDF'!E36,2)</f>
        <v>283.62</v>
      </c>
      <c r="Q26" s="384" t="s">
        <v>408</v>
      </c>
      <c r="R26" s="384">
        <v>1</v>
      </c>
      <c r="S26" s="384" t="s">
        <v>409</v>
      </c>
      <c r="T26" s="384" t="s">
        <v>410</v>
      </c>
      <c r="U26" s="388" t="str">
        <f t="shared" si="3"/>
        <v>16.12.2020</v>
      </c>
      <c r="V26" s="388" t="str">
        <f t="shared" si="3"/>
        <v>20.01.2021</v>
      </c>
      <c r="X26" s="384">
        <v>230.3</v>
      </c>
      <c r="Y26" s="384">
        <f t="shared" si="0"/>
        <v>53.319999999999993</v>
      </c>
      <c r="Z26" s="491" t="s">
        <v>461</v>
      </c>
    </row>
    <row r="27" spans="1:26" x14ac:dyDescent="0.25">
      <c r="A27" s="384" t="s">
        <v>411</v>
      </c>
      <c r="B27" s="384">
        <v>543</v>
      </c>
      <c r="C27" s="384" t="s">
        <v>407</v>
      </c>
      <c r="M27" s="390" t="str">
        <f>+'Calculo IP ZDF'!I37</f>
        <v>Z75</v>
      </c>
      <c r="O27" s="389">
        <f t="shared" si="1"/>
        <v>30000002129</v>
      </c>
      <c r="P27" s="386">
        <f>ROUND('Calculo IP ZDF'!E37,2)</f>
        <v>283.62</v>
      </c>
      <c r="Q27" s="384" t="s">
        <v>408</v>
      </c>
      <c r="R27" s="384">
        <v>1</v>
      </c>
      <c r="S27" s="384" t="s">
        <v>409</v>
      </c>
      <c r="T27" s="384" t="s">
        <v>410</v>
      </c>
      <c r="U27" s="388" t="str">
        <f t="shared" si="3"/>
        <v>16.12.2020</v>
      </c>
      <c r="V27" s="388" t="str">
        <f t="shared" si="3"/>
        <v>20.01.2021</v>
      </c>
      <c r="X27" s="384">
        <v>230.3</v>
      </c>
      <c r="Y27" s="384">
        <f t="shared" si="0"/>
        <v>53.319999999999993</v>
      </c>
      <c r="Z27" s="491" t="s">
        <v>461</v>
      </c>
    </row>
    <row r="28" spans="1:26" x14ac:dyDescent="0.25">
      <c r="A28" s="408" t="s">
        <v>412</v>
      </c>
      <c r="B28" s="408">
        <v>543</v>
      </c>
      <c r="C28" s="408" t="s">
        <v>407</v>
      </c>
      <c r="D28" s="408"/>
      <c r="E28" s="408"/>
      <c r="F28" s="408"/>
      <c r="G28" s="408"/>
      <c r="H28" s="408"/>
      <c r="I28" s="408"/>
      <c r="J28" s="408"/>
      <c r="K28" s="408"/>
      <c r="L28" s="408"/>
      <c r="M28" s="453" t="str">
        <f>+'Calculo IP ZDF'!I25</f>
        <v>Z61</v>
      </c>
      <c r="N28" s="408"/>
      <c r="O28" s="408">
        <f>+'Calculo IP ZDF'!B44</f>
        <v>30000000070</v>
      </c>
      <c r="P28" s="455">
        <f>ROUND('Calculo IP ZDF'!B25,2)</f>
        <v>4055.21</v>
      </c>
      <c r="Q28" s="408" t="s">
        <v>408</v>
      </c>
      <c r="R28" s="408">
        <v>1</v>
      </c>
      <c r="S28" s="408" t="s">
        <v>409</v>
      </c>
      <c r="T28" s="408" t="s">
        <v>410</v>
      </c>
      <c r="U28" s="388" t="str">
        <f>+U27</f>
        <v>16.12.2020</v>
      </c>
      <c r="V28" s="388" t="str">
        <f>+V25</f>
        <v>20.01.2021</v>
      </c>
      <c r="X28" s="384">
        <v>3980</v>
      </c>
      <c r="Y28" s="384">
        <f t="shared" si="0"/>
        <v>75.210000000000036</v>
      </c>
      <c r="Z28" s="490" t="s">
        <v>463</v>
      </c>
    </row>
    <row r="29" spans="1:26" x14ac:dyDescent="0.25">
      <c r="A29" s="384" t="s">
        <v>412</v>
      </c>
      <c r="B29" s="384">
        <v>543</v>
      </c>
      <c r="C29" s="384" t="s">
        <v>407</v>
      </c>
      <c r="M29" s="390" t="str">
        <f>+'Calculo IP ZDF'!I26</f>
        <v>Z68</v>
      </c>
      <c r="O29" s="384">
        <f>+O28</f>
        <v>30000000070</v>
      </c>
      <c r="P29" s="386">
        <f>ROUND('Calculo IP ZDF'!B26,2)</f>
        <v>3897.06</v>
      </c>
      <c r="Q29" s="384" t="s">
        <v>408</v>
      </c>
      <c r="R29" s="384">
        <v>1</v>
      </c>
      <c r="S29" s="384" t="s">
        <v>409</v>
      </c>
      <c r="T29" s="384" t="s">
        <v>410</v>
      </c>
      <c r="U29" s="388" t="str">
        <f t="shared" si="3"/>
        <v>16.12.2020</v>
      </c>
      <c r="V29" s="388" t="str">
        <f t="shared" si="3"/>
        <v>20.01.2021</v>
      </c>
      <c r="X29" s="384">
        <v>3980</v>
      </c>
      <c r="Y29" s="384">
        <f t="shared" si="0"/>
        <v>-82.940000000000055</v>
      </c>
      <c r="Z29" s="490" t="s">
        <v>463</v>
      </c>
    </row>
    <row r="30" spans="1:26" x14ac:dyDescent="0.25">
      <c r="A30" s="384" t="s">
        <v>412</v>
      </c>
      <c r="B30" s="384">
        <v>543</v>
      </c>
      <c r="C30" s="384" t="s">
        <v>407</v>
      </c>
      <c r="M30" s="390" t="str">
        <f>+'Calculo IP ZDF'!I27</f>
        <v>Z67</v>
      </c>
      <c r="O30" s="384">
        <f t="shared" ref="O30:O39" si="4">+O29</f>
        <v>30000000070</v>
      </c>
      <c r="P30" s="386">
        <f>ROUND('Calculo IP ZDF'!B27,2)</f>
        <v>4055.21</v>
      </c>
      <c r="Q30" s="384" t="s">
        <v>408</v>
      </c>
      <c r="R30" s="384">
        <v>1</v>
      </c>
      <c r="S30" s="384" t="s">
        <v>409</v>
      </c>
      <c r="T30" s="384" t="s">
        <v>410</v>
      </c>
      <c r="U30" s="388" t="str">
        <f t="shared" si="3"/>
        <v>16.12.2020</v>
      </c>
      <c r="V30" s="388" t="str">
        <f t="shared" si="3"/>
        <v>20.01.2021</v>
      </c>
      <c r="X30" s="384">
        <v>3980</v>
      </c>
      <c r="Y30" s="384">
        <f t="shared" si="0"/>
        <v>75.210000000000036</v>
      </c>
      <c r="Z30" s="490" t="s">
        <v>463</v>
      </c>
    </row>
    <row r="31" spans="1:26" x14ac:dyDescent="0.25">
      <c r="A31" s="446" t="s">
        <v>412</v>
      </c>
      <c r="B31" s="446">
        <v>543</v>
      </c>
      <c r="C31" s="446" t="s">
        <v>407</v>
      </c>
      <c r="D31" s="446"/>
      <c r="E31" s="446"/>
      <c r="F31" s="446"/>
      <c r="G31" s="446"/>
      <c r="H31" s="446"/>
      <c r="I31" s="446"/>
      <c r="J31" s="446"/>
      <c r="K31" s="446"/>
      <c r="L31" s="446"/>
      <c r="M31" s="445" t="str">
        <f>+M18</f>
        <v xml:space="preserve">Z64  </v>
      </c>
      <c r="N31" s="446"/>
      <c r="O31" s="446">
        <f t="shared" si="4"/>
        <v>30000000070</v>
      </c>
      <c r="P31" s="409">
        <f>ROUND('Calculo IP ZDF'!B28,2)</f>
        <v>4055.21</v>
      </c>
      <c r="Q31" s="446" t="s">
        <v>408</v>
      </c>
      <c r="R31" s="446">
        <v>1</v>
      </c>
      <c r="S31" s="446" t="s">
        <v>409</v>
      </c>
      <c r="T31" s="446" t="s">
        <v>410</v>
      </c>
      <c r="U31" s="449" t="str">
        <f t="shared" si="3"/>
        <v>16.12.2020</v>
      </c>
      <c r="V31" s="449" t="str">
        <f t="shared" si="3"/>
        <v>20.01.2021</v>
      </c>
      <c r="X31" s="384">
        <v>3980</v>
      </c>
      <c r="Y31" s="384">
        <f t="shared" si="0"/>
        <v>75.210000000000036</v>
      </c>
      <c r="Z31" s="490" t="s">
        <v>463</v>
      </c>
    </row>
    <row r="32" spans="1:26" x14ac:dyDescent="0.25">
      <c r="A32" s="384" t="s">
        <v>412</v>
      </c>
      <c r="B32" s="384">
        <v>543</v>
      </c>
      <c r="C32" s="384" t="s">
        <v>407</v>
      </c>
      <c r="M32" s="390" t="str">
        <f>+M19</f>
        <v>Z74</v>
      </c>
      <c r="O32" s="384">
        <f t="shared" si="4"/>
        <v>30000000070</v>
      </c>
      <c r="P32" s="386">
        <f>ROUND('Calculo IP ZDF'!B29,2)</f>
        <v>4006.14</v>
      </c>
      <c r="Q32" s="384" t="s">
        <v>408</v>
      </c>
      <c r="R32" s="384">
        <v>1</v>
      </c>
      <c r="S32" s="384" t="s">
        <v>409</v>
      </c>
      <c r="T32" s="384" t="s">
        <v>410</v>
      </c>
      <c r="U32" s="388" t="str">
        <f t="shared" si="3"/>
        <v>16.12.2020</v>
      </c>
      <c r="V32" s="388" t="str">
        <f t="shared" si="3"/>
        <v>20.01.2021</v>
      </c>
      <c r="X32" s="384">
        <v>3980</v>
      </c>
      <c r="Y32" s="384">
        <f t="shared" si="0"/>
        <v>26.139999999999873</v>
      </c>
      <c r="Z32" s="490" t="s">
        <v>463</v>
      </c>
    </row>
    <row r="33" spans="1:26" x14ac:dyDescent="0.25">
      <c r="A33" s="384" t="s">
        <v>412</v>
      </c>
      <c r="B33" s="384">
        <v>543</v>
      </c>
      <c r="C33" s="384" t="s">
        <v>407</v>
      </c>
      <c r="M33" s="390" t="str">
        <f>+'Calculo IP ZDF'!I30</f>
        <v>Z65</v>
      </c>
      <c r="O33" s="384">
        <f t="shared" si="4"/>
        <v>30000000070</v>
      </c>
      <c r="P33" s="386">
        <f>ROUND('Calculo IP ZDF'!B30,2)</f>
        <v>4055.21</v>
      </c>
      <c r="Q33" s="384" t="s">
        <v>408</v>
      </c>
      <c r="R33" s="384">
        <v>1</v>
      </c>
      <c r="S33" s="384" t="s">
        <v>409</v>
      </c>
      <c r="T33" s="384" t="s">
        <v>410</v>
      </c>
      <c r="U33" s="388" t="str">
        <f t="shared" si="3"/>
        <v>16.12.2020</v>
      </c>
      <c r="V33" s="388" t="str">
        <f t="shared" si="3"/>
        <v>20.01.2021</v>
      </c>
      <c r="X33" s="384">
        <v>3980</v>
      </c>
      <c r="Y33" s="384">
        <f t="shared" si="0"/>
        <v>75.210000000000036</v>
      </c>
      <c r="Z33" s="490" t="s">
        <v>463</v>
      </c>
    </row>
    <row r="34" spans="1:26" x14ac:dyDescent="0.25">
      <c r="A34" s="384" t="s">
        <v>412</v>
      </c>
      <c r="B34" s="384">
        <v>543</v>
      </c>
      <c r="C34" s="384" t="s">
        <v>407</v>
      </c>
      <c r="M34" s="390" t="str">
        <f>+'Calculo IP ZDF'!I31</f>
        <v>Z69</v>
      </c>
      <c r="O34" s="384">
        <f t="shared" si="4"/>
        <v>30000000070</v>
      </c>
      <c r="P34" s="386">
        <f>ROUND('Calculo IP ZDF'!B31,2)</f>
        <v>4055.21</v>
      </c>
      <c r="Q34" s="384" t="s">
        <v>408</v>
      </c>
      <c r="R34" s="384">
        <v>1</v>
      </c>
      <c r="S34" s="384" t="s">
        <v>409</v>
      </c>
      <c r="T34" s="384" t="s">
        <v>410</v>
      </c>
      <c r="U34" s="388" t="str">
        <f t="shared" si="3"/>
        <v>16.12.2020</v>
      </c>
      <c r="V34" s="388" t="str">
        <f t="shared" si="3"/>
        <v>20.01.2021</v>
      </c>
      <c r="X34" s="384">
        <v>3980</v>
      </c>
      <c r="Y34" s="384">
        <f t="shared" si="0"/>
        <v>75.210000000000036</v>
      </c>
      <c r="Z34" s="490" t="s">
        <v>463</v>
      </c>
    </row>
    <row r="35" spans="1:26" x14ac:dyDescent="0.25">
      <c r="A35" s="384" t="s">
        <v>412</v>
      </c>
      <c r="B35" s="384">
        <v>543</v>
      </c>
      <c r="C35" s="384" t="s">
        <v>407</v>
      </c>
      <c r="M35" s="390" t="str">
        <f>+'Calculo IP ZDF'!I33</f>
        <v>Z62</v>
      </c>
      <c r="O35" s="384">
        <f t="shared" si="4"/>
        <v>30000000070</v>
      </c>
      <c r="P35" s="386">
        <f>ROUND('Calculo IP ZDF'!B33,2)</f>
        <v>4055.21</v>
      </c>
      <c r="Q35" s="384" t="s">
        <v>408</v>
      </c>
      <c r="R35" s="384">
        <v>1</v>
      </c>
      <c r="S35" s="384" t="s">
        <v>409</v>
      </c>
      <c r="T35" s="384" t="s">
        <v>410</v>
      </c>
      <c r="U35" s="388" t="str">
        <f t="shared" si="3"/>
        <v>16.12.2020</v>
      </c>
      <c r="V35" s="388" t="str">
        <f t="shared" si="3"/>
        <v>20.01.2021</v>
      </c>
      <c r="X35" s="384">
        <v>3980</v>
      </c>
      <c r="Y35" s="384">
        <f t="shared" si="0"/>
        <v>75.210000000000036</v>
      </c>
      <c r="Z35" s="490" t="s">
        <v>463</v>
      </c>
    </row>
    <row r="36" spans="1:26" x14ac:dyDescent="0.25">
      <c r="A36" s="384" t="s">
        <v>412</v>
      </c>
      <c r="B36" s="384">
        <v>543</v>
      </c>
      <c r="C36" s="384" t="s">
        <v>407</v>
      </c>
      <c r="M36" s="390" t="str">
        <f>+'Calculo IP ZDF'!I34</f>
        <v>Z60</v>
      </c>
      <c r="O36" s="384">
        <f t="shared" si="4"/>
        <v>30000000070</v>
      </c>
      <c r="P36" s="386">
        <f>ROUND('Calculo IP ZDF'!B34,2)</f>
        <v>4005.74</v>
      </c>
      <c r="Q36" s="384" t="s">
        <v>408</v>
      </c>
      <c r="R36" s="384">
        <v>1</v>
      </c>
      <c r="S36" s="384" t="s">
        <v>409</v>
      </c>
      <c r="T36" s="384" t="s">
        <v>410</v>
      </c>
      <c r="U36" s="388" t="str">
        <f t="shared" si="3"/>
        <v>16.12.2020</v>
      </c>
      <c r="V36" s="388" t="str">
        <f t="shared" si="3"/>
        <v>20.01.2021</v>
      </c>
      <c r="X36" s="384">
        <v>3980</v>
      </c>
      <c r="Y36" s="384">
        <f t="shared" si="0"/>
        <v>25.739999999999782</v>
      </c>
      <c r="Z36" s="490" t="s">
        <v>463</v>
      </c>
    </row>
    <row r="37" spans="1:26" x14ac:dyDescent="0.25">
      <c r="A37" s="408" t="s">
        <v>412</v>
      </c>
      <c r="B37" s="408">
        <v>543</v>
      </c>
      <c r="C37" s="408" t="s">
        <v>407</v>
      </c>
      <c r="D37" s="408"/>
      <c r="E37" s="408"/>
      <c r="F37" s="408"/>
      <c r="G37" s="408"/>
      <c r="H37" s="408"/>
      <c r="I37" s="408"/>
      <c r="J37" s="408"/>
      <c r="K37" s="408"/>
      <c r="L37" s="408"/>
      <c r="M37" s="453" t="str">
        <f>+'Calculo IP ZDF'!I35</f>
        <v>Z63</v>
      </c>
      <c r="N37" s="408"/>
      <c r="O37" s="408">
        <f t="shared" si="4"/>
        <v>30000000070</v>
      </c>
      <c r="P37" s="455">
        <f>ROUND('Calculo IP ZDF'!B35,2)</f>
        <v>4055.21</v>
      </c>
      <c r="Q37" s="408" t="s">
        <v>408</v>
      </c>
      <c r="R37" s="408">
        <v>1</v>
      </c>
      <c r="S37" s="408" t="s">
        <v>409</v>
      </c>
      <c r="T37" s="408" t="s">
        <v>410</v>
      </c>
      <c r="U37" s="388" t="str">
        <f>+U36</f>
        <v>16.12.2020</v>
      </c>
      <c r="V37" s="388" t="str">
        <f>+V28</f>
        <v>20.01.2021</v>
      </c>
      <c r="X37" s="384">
        <v>3980</v>
      </c>
      <c r="Y37" s="384">
        <f t="shared" si="0"/>
        <v>75.210000000000036</v>
      </c>
      <c r="Z37" s="490" t="s">
        <v>463</v>
      </c>
    </row>
    <row r="38" spans="1:26" x14ac:dyDescent="0.25">
      <c r="A38" s="384" t="s">
        <v>412</v>
      </c>
      <c r="B38" s="384">
        <v>543</v>
      </c>
      <c r="C38" s="384" t="s">
        <v>407</v>
      </c>
      <c r="M38" s="390" t="str">
        <f>+'Calculo IP ZDF'!I36</f>
        <v>Z70</v>
      </c>
      <c r="O38" s="384">
        <f t="shared" si="4"/>
        <v>30000000070</v>
      </c>
      <c r="P38" s="386">
        <f>ROUND('Calculo IP ZDF'!B36,2)</f>
        <v>4055.21</v>
      </c>
      <c r="Q38" s="384" t="s">
        <v>408</v>
      </c>
      <c r="R38" s="384">
        <v>1</v>
      </c>
      <c r="S38" s="384" t="s">
        <v>409</v>
      </c>
      <c r="T38" s="384" t="s">
        <v>410</v>
      </c>
      <c r="U38" s="388" t="str">
        <f t="shared" ref="U38:V43" si="5">+U37</f>
        <v>16.12.2020</v>
      </c>
      <c r="V38" s="388" t="str">
        <f t="shared" si="5"/>
        <v>20.01.2021</v>
      </c>
      <c r="X38" s="384">
        <v>3980</v>
      </c>
      <c r="Y38" s="384">
        <f t="shared" si="0"/>
        <v>75.210000000000036</v>
      </c>
      <c r="Z38" s="490" t="s">
        <v>463</v>
      </c>
    </row>
    <row r="39" spans="1:26" x14ac:dyDescent="0.25">
      <c r="A39" s="384" t="s">
        <v>412</v>
      </c>
      <c r="B39" s="384">
        <v>543</v>
      </c>
      <c r="C39" s="384" t="s">
        <v>407</v>
      </c>
      <c r="M39" s="390" t="str">
        <f>+'Calculo IP ZDF'!I37</f>
        <v>Z75</v>
      </c>
      <c r="O39" s="384">
        <f t="shared" si="4"/>
        <v>30000000070</v>
      </c>
      <c r="P39" s="386">
        <f>ROUND('Calculo IP ZDF'!B37,2)</f>
        <v>3897.06</v>
      </c>
      <c r="Q39" s="384" t="s">
        <v>408</v>
      </c>
      <c r="R39" s="384">
        <v>1</v>
      </c>
      <c r="S39" s="384" t="s">
        <v>409</v>
      </c>
      <c r="T39" s="384" t="s">
        <v>410</v>
      </c>
      <c r="U39" s="388" t="str">
        <f t="shared" si="5"/>
        <v>16.12.2020</v>
      </c>
      <c r="V39" s="388" t="str">
        <f t="shared" si="5"/>
        <v>20.01.2021</v>
      </c>
      <c r="X39" s="384">
        <v>3980</v>
      </c>
      <c r="Y39" s="384">
        <f t="shared" si="0"/>
        <v>-82.940000000000055</v>
      </c>
      <c r="Z39" s="490" t="s">
        <v>463</v>
      </c>
    </row>
    <row r="40" spans="1:26" x14ac:dyDescent="0.25">
      <c r="A40" s="384" t="s">
        <v>412</v>
      </c>
      <c r="B40" s="408">
        <v>587</v>
      </c>
      <c r="C40" s="384" t="s">
        <v>407</v>
      </c>
      <c r="F40" s="384">
        <v>3003</v>
      </c>
      <c r="M40" s="390" t="s">
        <v>379</v>
      </c>
      <c r="O40" s="384">
        <v>30000009113</v>
      </c>
      <c r="P40" s="386">
        <f>ROUND(+'Calculo IP ZDF'!B33,2)</f>
        <v>4055.21</v>
      </c>
      <c r="Q40" s="384" t="s">
        <v>408</v>
      </c>
      <c r="R40" s="384">
        <v>1</v>
      </c>
      <c r="S40" s="384" t="s">
        <v>409</v>
      </c>
      <c r="T40" s="384" t="s">
        <v>410</v>
      </c>
      <c r="U40" s="388" t="str">
        <f t="shared" si="5"/>
        <v>16.12.2020</v>
      </c>
      <c r="V40" s="388" t="str">
        <f t="shared" si="5"/>
        <v>20.01.2021</v>
      </c>
      <c r="X40" s="384">
        <v>3980</v>
      </c>
      <c r="Y40" s="384">
        <f t="shared" si="0"/>
        <v>75.210000000000036</v>
      </c>
      <c r="Z40" s="384" t="s">
        <v>462</v>
      </c>
    </row>
    <row r="41" spans="1:26" x14ac:dyDescent="0.25">
      <c r="A41" s="384" t="s">
        <v>433</v>
      </c>
      <c r="B41" s="408">
        <v>587</v>
      </c>
      <c r="C41" s="384" t="s">
        <v>407</v>
      </c>
      <c r="F41" s="384">
        <v>3003</v>
      </c>
      <c r="M41" s="390" t="s">
        <v>379</v>
      </c>
      <c r="O41" s="384">
        <v>30000009113</v>
      </c>
      <c r="P41" s="469">
        <v>8.14</v>
      </c>
      <c r="Q41" s="384" t="s">
        <v>408</v>
      </c>
      <c r="R41" s="384">
        <v>1</v>
      </c>
      <c r="S41" s="384" t="s">
        <v>409</v>
      </c>
      <c r="T41" s="384" t="s">
        <v>410</v>
      </c>
      <c r="U41" s="388" t="str">
        <f t="shared" si="5"/>
        <v>16.12.2020</v>
      </c>
      <c r="V41" s="388" t="str">
        <f t="shared" si="5"/>
        <v>20.01.2021</v>
      </c>
      <c r="X41" s="384">
        <v>8.14</v>
      </c>
      <c r="Y41" s="384">
        <f t="shared" si="0"/>
        <v>0</v>
      </c>
      <c r="Z41" s="384" t="s">
        <v>462</v>
      </c>
    </row>
    <row r="42" spans="1:26" x14ac:dyDescent="0.25">
      <c r="A42" s="384" t="s">
        <v>412</v>
      </c>
      <c r="B42" s="408">
        <v>587</v>
      </c>
      <c r="C42" s="384" t="s">
        <v>407</v>
      </c>
      <c r="F42" s="384">
        <v>3003</v>
      </c>
      <c r="M42" s="390" t="s">
        <v>379</v>
      </c>
      <c r="O42" s="384">
        <v>30000000003</v>
      </c>
      <c r="P42" s="386">
        <f>ROUND(+'Calculo IP ZDF'!C33,2)</f>
        <v>4160.22</v>
      </c>
      <c r="Q42" s="384" t="s">
        <v>408</v>
      </c>
      <c r="R42" s="384">
        <v>1</v>
      </c>
      <c r="S42" s="384" t="s">
        <v>409</v>
      </c>
      <c r="T42" s="384" t="s">
        <v>410</v>
      </c>
      <c r="U42" s="388" t="str">
        <f t="shared" si="5"/>
        <v>16.12.2020</v>
      </c>
      <c r="V42" s="388" t="str">
        <f t="shared" si="5"/>
        <v>20.01.2021</v>
      </c>
      <c r="X42" s="384">
        <v>4496.3599999999997</v>
      </c>
      <c r="Y42" s="384">
        <f t="shared" si="0"/>
        <v>-336.13999999999942</v>
      </c>
      <c r="Z42" s="384" t="s">
        <v>108</v>
      </c>
    </row>
    <row r="43" spans="1:26" x14ac:dyDescent="0.25">
      <c r="A43" s="384" t="s">
        <v>433</v>
      </c>
      <c r="B43" s="408">
        <v>587</v>
      </c>
      <c r="C43" s="384" t="s">
        <v>407</v>
      </c>
      <c r="F43" s="384">
        <v>3003</v>
      </c>
      <c r="M43" s="390" t="s">
        <v>379</v>
      </c>
      <c r="O43" s="384">
        <v>30000000003</v>
      </c>
      <c r="P43" s="409">
        <f>+P41</f>
        <v>8.14</v>
      </c>
      <c r="Q43" s="384" t="s">
        <v>408</v>
      </c>
      <c r="R43" s="384">
        <v>1</v>
      </c>
      <c r="S43" s="384" t="s">
        <v>409</v>
      </c>
      <c r="T43" s="384" t="s">
        <v>410</v>
      </c>
      <c r="U43" s="388" t="str">
        <f t="shared" si="5"/>
        <v>16.12.2020</v>
      </c>
      <c r="V43" s="388" t="str">
        <f t="shared" si="5"/>
        <v>20.01.2021</v>
      </c>
      <c r="X43" s="384">
        <v>8.14</v>
      </c>
      <c r="Y43" s="384">
        <f t="shared" si="0"/>
        <v>0</v>
      </c>
      <c r="Z43" s="384" t="s">
        <v>108</v>
      </c>
    </row>
    <row r="44" spans="1:26" x14ac:dyDescent="0.25">
      <c r="A44" s="384" t="s">
        <v>406</v>
      </c>
      <c r="B44" s="384">
        <v>543</v>
      </c>
      <c r="C44" s="384" t="s">
        <v>407</v>
      </c>
      <c r="M44" s="445" t="str">
        <f>+'Calculo IP ZDF'!I38</f>
        <v>Z66</v>
      </c>
      <c r="O44" s="384">
        <v>30000002129</v>
      </c>
      <c r="P44" s="386">
        <f>ROUND(+'Calculo IP ZDF'!D38,2)</f>
        <v>4190.58</v>
      </c>
      <c r="Q44" s="384" t="s">
        <v>408</v>
      </c>
      <c r="R44" s="384">
        <v>1</v>
      </c>
      <c r="S44" s="384" t="s">
        <v>409</v>
      </c>
      <c r="T44" s="384" t="s">
        <v>410</v>
      </c>
      <c r="U44" s="388" t="str">
        <f t="shared" ref="U44:V46" si="6">+U43</f>
        <v>16.12.2020</v>
      </c>
      <c r="V44" s="388" t="str">
        <f t="shared" si="6"/>
        <v>20.01.2021</v>
      </c>
      <c r="X44" s="384">
        <v>4618.07</v>
      </c>
      <c r="Y44" s="384">
        <f t="shared" si="0"/>
        <v>-427.48999999999978</v>
      </c>
      <c r="Z44" s="491" t="s">
        <v>461</v>
      </c>
    </row>
    <row r="45" spans="1:26" x14ac:dyDescent="0.25">
      <c r="A45" s="384" t="s">
        <v>411</v>
      </c>
      <c r="B45" s="384">
        <v>543</v>
      </c>
      <c r="C45" s="384" t="s">
        <v>407</v>
      </c>
      <c r="M45" s="445" t="str">
        <f>+M44</f>
        <v>Z66</v>
      </c>
      <c r="O45" s="384">
        <v>30000002129</v>
      </c>
      <c r="P45" s="386">
        <f>ROUND(+'Calculo IP ZDF'!E38,2)</f>
        <v>283.62</v>
      </c>
      <c r="Q45" s="384" t="s">
        <v>408</v>
      </c>
      <c r="R45" s="384">
        <v>1</v>
      </c>
      <c r="S45" s="384" t="s">
        <v>409</v>
      </c>
      <c r="T45" s="384" t="s">
        <v>410</v>
      </c>
      <c r="U45" s="388" t="str">
        <f t="shared" si="6"/>
        <v>16.12.2020</v>
      </c>
      <c r="V45" s="388" t="str">
        <f t="shared" si="6"/>
        <v>20.01.2021</v>
      </c>
      <c r="X45" s="384">
        <v>230.3</v>
      </c>
      <c r="Y45" s="384">
        <f t="shared" si="0"/>
        <v>53.319999999999993</v>
      </c>
      <c r="Z45" s="491" t="s">
        <v>461</v>
      </c>
    </row>
    <row r="46" spans="1:26" x14ac:dyDescent="0.25">
      <c r="A46" s="384" t="s">
        <v>412</v>
      </c>
      <c r="B46" s="384">
        <v>543</v>
      </c>
      <c r="C46" s="384" t="s">
        <v>407</v>
      </c>
      <c r="M46" s="390" t="str">
        <f>+M45</f>
        <v>Z66</v>
      </c>
      <c r="O46" s="384">
        <f>+'Calculo IP ZDF'!B44</f>
        <v>30000000070</v>
      </c>
      <c r="P46" s="386">
        <f>ROUND(+'Calculo IP ZDF'!B38,2)</f>
        <v>4055.21</v>
      </c>
      <c r="Q46" s="384" t="s">
        <v>408</v>
      </c>
      <c r="R46" s="384">
        <v>1</v>
      </c>
      <c r="S46" s="384" t="s">
        <v>409</v>
      </c>
      <c r="T46" s="384" t="s">
        <v>410</v>
      </c>
      <c r="U46" s="388" t="str">
        <f t="shared" si="6"/>
        <v>16.12.2020</v>
      </c>
      <c r="V46" s="388" t="str">
        <f t="shared" si="6"/>
        <v>20.01.2021</v>
      </c>
      <c r="X46" s="384">
        <v>3980</v>
      </c>
      <c r="Y46" s="384">
        <f t="shared" si="0"/>
        <v>75.210000000000036</v>
      </c>
      <c r="Z46" s="490" t="s">
        <v>463</v>
      </c>
    </row>
  </sheetData>
  <autoFilter ref="A1:V46"/>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85" zoomScaleNormal="85" workbookViewId="0">
      <selection activeCell="O2" sqref="O2:O9"/>
    </sheetView>
  </sheetViews>
  <sheetFormatPr baseColWidth="10" defaultRowHeight="15" x14ac:dyDescent="0.25"/>
  <cols>
    <col min="1" max="1" width="7.42578125" style="384" customWidth="1"/>
    <col min="2" max="2" width="9.28515625" style="384" customWidth="1"/>
    <col min="3" max="3" width="7.5703125" style="384" customWidth="1"/>
    <col min="4" max="8" width="8.28515625" style="384" customWidth="1"/>
    <col min="9" max="9" width="11" style="384" customWidth="1"/>
    <col min="10" max="11" width="8.28515625" style="384" customWidth="1"/>
    <col min="12" max="12" width="8" style="384" bestFit="1" customWidth="1"/>
    <col min="13" max="13" width="6.85546875" style="384" customWidth="1"/>
    <col min="14" max="14" width="11.140625" style="384" customWidth="1"/>
    <col min="15" max="15" width="12.28515625" style="384" bestFit="1" customWidth="1"/>
    <col min="16" max="16" width="11.7109375" style="386" bestFit="1" customWidth="1"/>
    <col min="17" max="17" width="7.5703125" style="384" customWidth="1"/>
    <col min="18" max="18" width="8.7109375" style="384" customWidth="1"/>
    <col min="19" max="19" width="9.85546875" style="384" customWidth="1"/>
    <col min="20" max="20" width="5.5703125" style="384" customWidth="1"/>
    <col min="21" max="22" width="10.7109375" style="387" bestFit="1" customWidth="1"/>
    <col min="23" max="16384" width="11.42578125" style="384"/>
  </cols>
  <sheetData>
    <row r="1" spans="1:22" x14ac:dyDescent="0.25">
      <c r="A1" s="384" t="s">
        <v>384</v>
      </c>
      <c r="B1" s="384" t="s">
        <v>385</v>
      </c>
      <c r="C1" s="384" t="s">
        <v>386</v>
      </c>
      <c r="D1" s="384" t="s">
        <v>387</v>
      </c>
      <c r="E1" s="384" t="s">
        <v>388</v>
      </c>
      <c r="F1" s="384" t="s">
        <v>389</v>
      </c>
      <c r="G1" s="384" t="s">
        <v>390</v>
      </c>
      <c r="H1" s="384" t="s">
        <v>391</v>
      </c>
      <c r="I1" s="384" t="s">
        <v>392</v>
      </c>
      <c r="J1" s="384" t="s">
        <v>393</v>
      </c>
      <c r="K1" s="384" t="s">
        <v>394</v>
      </c>
      <c r="L1" s="384" t="s">
        <v>395</v>
      </c>
      <c r="M1" s="384" t="s">
        <v>396</v>
      </c>
      <c r="N1" s="384" t="s">
        <v>397</v>
      </c>
      <c r="O1" s="385" t="s">
        <v>398</v>
      </c>
      <c r="P1" s="386" t="s">
        <v>399</v>
      </c>
      <c r="Q1" s="384" t="s">
        <v>400</v>
      </c>
      <c r="R1" s="384" t="s">
        <v>401</v>
      </c>
      <c r="S1" s="384" t="s">
        <v>402</v>
      </c>
      <c r="T1" s="384" t="s">
        <v>403</v>
      </c>
      <c r="U1" s="387" t="s">
        <v>404</v>
      </c>
      <c r="V1" s="387" t="s">
        <v>405</v>
      </c>
    </row>
    <row r="2" spans="1:22" x14ac:dyDescent="0.25">
      <c r="A2" s="384" t="s">
        <v>412</v>
      </c>
      <c r="B2" s="384">
        <v>543</v>
      </c>
      <c r="C2" s="384" t="s">
        <v>426</v>
      </c>
      <c r="F2" s="384" t="s">
        <v>174</v>
      </c>
      <c r="M2" s="390" t="s">
        <v>429</v>
      </c>
      <c r="O2" s="429">
        <v>30000000003</v>
      </c>
      <c r="P2" s="385">
        <f>ROUND('Calculo IP ZDF'!C28,2)</f>
        <v>4276.1000000000004</v>
      </c>
      <c r="Q2" s="384" t="s">
        <v>408</v>
      </c>
      <c r="R2" s="384">
        <v>1</v>
      </c>
      <c r="S2" s="384" t="s">
        <v>427</v>
      </c>
      <c r="T2" s="384" t="s">
        <v>410</v>
      </c>
      <c r="U2" s="388" t="str">
        <f>+'Calculo IP ZDF'!B40</f>
        <v>16.12.2020</v>
      </c>
      <c r="V2" s="388" t="str">
        <f>+'Calculo IP ZDF'!C40</f>
        <v>20.01.2021</v>
      </c>
    </row>
    <row r="3" spans="1:22" x14ac:dyDescent="0.25">
      <c r="A3" s="384" t="s">
        <v>412</v>
      </c>
      <c r="B3" s="384">
        <v>543</v>
      </c>
      <c r="C3" s="384" t="s">
        <v>426</v>
      </c>
      <c r="M3" s="390" t="s">
        <v>428</v>
      </c>
      <c r="O3" s="429">
        <v>30000000003</v>
      </c>
      <c r="P3" s="385">
        <f>ROUND('Calculo IP ZDF'!C29,2)</f>
        <v>3928.03</v>
      </c>
      <c r="Q3" s="384" t="s">
        <v>408</v>
      </c>
      <c r="R3" s="384">
        <v>1</v>
      </c>
      <c r="S3" s="384" t="s">
        <v>427</v>
      </c>
      <c r="T3" s="384" t="s">
        <v>410</v>
      </c>
      <c r="U3" s="388" t="str">
        <f>+U2</f>
        <v>16.12.2020</v>
      </c>
      <c r="V3" s="388" t="str">
        <f>+V2</f>
        <v>20.01.2021</v>
      </c>
    </row>
    <row r="4" spans="1:22" x14ac:dyDescent="0.25">
      <c r="A4" s="384" t="s">
        <v>412</v>
      </c>
      <c r="B4" s="384">
        <v>543</v>
      </c>
      <c r="C4" s="384" t="s">
        <v>426</v>
      </c>
      <c r="M4" s="390" t="str">
        <f>+'Calculo IP ZDF'!I30</f>
        <v>Z65</v>
      </c>
      <c r="O4" s="429">
        <v>30000000003</v>
      </c>
      <c r="P4" s="385">
        <f>ROUND('Calculo IP ZDF'!C30,2)</f>
        <v>4276.1000000000004</v>
      </c>
      <c r="Q4" s="384" t="s">
        <v>408</v>
      </c>
      <c r="R4" s="384">
        <v>1</v>
      </c>
      <c r="S4" s="384" t="s">
        <v>427</v>
      </c>
      <c r="T4" s="384" t="s">
        <v>410</v>
      </c>
      <c r="U4" s="388" t="str">
        <f t="shared" ref="U4:U6" si="0">+U3</f>
        <v>16.12.2020</v>
      </c>
      <c r="V4" s="388" t="str">
        <f t="shared" ref="V4:V6" si="1">+V3</f>
        <v>20.01.2021</v>
      </c>
    </row>
    <row r="5" spans="1:22" x14ac:dyDescent="0.25">
      <c r="A5" s="384" t="s">
        <v>412</v>
      </c>
      <c r="B5" s="384">
        <v>543</v>
      </c>
      <c r="C5" s="384" t="s">
        <v>426</v>
      </c>
      <c r="M5" s="390" t="str">
        <f>+'Calculo IP ZDF'!I32</f>
        <v>Z73</v>
      </c>
      <c r="O5" s="429">
        <v>30000000003</v>
      </c>
      <c r="P5" s="385">
        <f>ROUND('Calculo IP ZDF'!C32,2)</f>
        <v>4128.57</v>
      </c>
      <c r="Q5" s="384" t="s">
        <v>408</v>
      </c>
      <c r="R5" s="384">
        <v>1</v>
      </c>
      <c r="S5" s="384" t="s">
        <v>427</v>
      </c>
      <c r="T5" s="384" t="s">
        <v>410</v>
      </c>
      <c r="U5" s="388" t="str">
        <f t="shared" si="0"/>
        <v>16.12.2020</v>
      </c>
      <c r="V5" s="388" t="str">
        <f t="shared" si="1"/>
        <v>20.01.2021</v>
      </c>
    </row>
    <row r="6" spans="1:22" x14ac:dyDescent="0.25">
      <c r="A6" s="384" t="s">
        <v>412</v>
      </c>
      <c r="B6" s="384">
        <v>543</v>
      </c>
      <c r="C6" s="384" t="s">
        <v>426</v>
      </c>
      <c r="M6" s="390" t="str">
        <f>+'Calculo IP ZDF'!I33</f>
        <v>Z62</v>
      </c>
      <c r="O6" s="429">
        <v>30000000003</v>
      </c>
      <c r="P6" s="385">
        <f>ROUND('Calculo IP ZDF'!C33,2)</f>
        <v>4160.22</v>
      </c>
      <c r="Q6" s="384" t="s">
        <v>408</v>
      </c>
      <c r="R6" s="384">
        <v>1</v>
      </c>
      <c r="S6" s="384" t="s">
        <v>427</v>
      </c>
      <c r="T6" s="384" t="s">
        <v>410</v>
      </c>
      <c r="U6" s="388" t="str">
        <f t="shared" si="0"/>
        <v>16.12.2020</v>
      </c>
      <c r="V6" s="388" t="str">
        <f t="shared" si="1"/>
        <v>20.01.2021</v>
      </c>
    </row>
    <row r="7" spans="1:22" x14ac:dyDescent="0.25">
      <c r="A7" s="384" t="s">
        <v>412</v>
      </c>
      <c r="B7" s="384">
        <v>543</v>
      </c>
      <c r="C7" s="384" t="s">
        <v>426</v>
      </c>
      <c r="M7" s="390" t="str">
        <f>+M2</f>
        <v xml:space="preserve">Z64  </v>
      </c>
      <c r="O7" s="389">
        <v>30000000070</v>
      </c>
      <c r="P7" s="385">
        <f>ROUND('Calculo IP ZDF'!B28,2)</f>
        <v>4055.21</v>
      </c>
      <c r="Q7" s="384" t="s">
        <v>408</v>
      </c>
      <c r="R7" s="384">
        <v>1</v>
      </c>
      <c r="S7" s="384" t="s">
        <v>427</v>
      </c>
      <c r="T7" s="384" t="s">
        <v>410</v>
      </c>
      <c r="U7" s="388" t="str">
        <f t="shared" ref="U7:U10" si="2">+U6</f>
        <v>16.12.2020</v>
      </c>
      <c r="V7" s="388" t="str">
        <f t="shared" ref="V7:V21" si="3">+V6</f>
        <v>20.01.2021</v>
      </c>
    </row>
    <row r="8" spans="1:22" x14ac:dyDescent="0.25">
      <c r="A8" s="384" t="s">
        <v>412</v>
      </c>
      <c r="B8" s="384">
        <v>543</v>
      </c>
      <c r="C8" s="384" t="s">
        <v>426</v>
      </c>
      <c r="M8" s="390" t="str">
        <f t="shared" ref="M8:M11" si="4">+M3</f>
        <v>Z51</v>
      </c>
      <c r="O8" s="389">
        <v>30000000070</v>
      </c>
      <c r="P8" s="385">
        <f>ROUND('Calculo IP ZDF'!B29,2)</f>
        <v>4006.14</v>
      </c>
      <c r="Q8" s="384" t="s">
        <v>408</v>
      </c>
      <c r="R8" s="384">
        <v>1</v>
      </c>
      <c r="S8" s="384" t="s">
        <v>427</v>
      </c>
      <c r="T8" s="384" t="s">
        <v>410</v>
      </c>
      <c r="U8" s="388" t="str">
        <f t="shared" si="2"/>
        <v>16.12.2020</v>
      </c>
      <c r="V8" s="388" t="str">
        <f t="shared" si="3"/>
        <v>20.01.2021</v>
      </c>
    </row>
    <row r="9" spans="1:22" x14ac:dyDescent="0.25">
      <c r="A9" s="384" t="s">
        <v>412</v>
      </c>
      <c r="B9" s="384">
        <v>543</v>
      </c>
      <c r="C9" s="384" t="s">
        <v>426</v>
      </c>
      <c r="M9" s="390" t="str">
        <f t="shared" si="4"/>
        <v>Z65</v>
      </c>
      <c r="O9" s="389">
        <v>30000000070</v>
      </c>
      <c r="P9" s="385">
        <f>ROUND('Calculo IP ZDF'!B30,2)</f>
        <v>4055.21</v>
      </c>
      <c r="Q9" s="384" t="s">
        <v>408</v>
      </c>
      <c r="R9" s="384">
        <v>1</v>
      </c>
      <c r="S9" s="384" t="s">
        <v>427</v>
      </c>
      <c r="T9" s="384" t="s">
        <v>410</v>
      </c>
      <c r="U9" s="388" t="str">
        <f t="shared" si="2"/>
        <v>16.12.2020</v>
      </c>
      <c r="V9" s="388" t="str">
        <f t="shared" si="3"/>
        <v>20.01.2021</v>
      </c>
    </row>
    <row r="10" spans="1:22" x14ac:dyDescent="0.25">
      <c r="A10" s="384" t="s">
        <v>412</v>
      </c>
      <c r="B10" s="384">
        <v>543</v>
      </c>
      <c r="C10" s="384" t="s">
        <v>426</v>
      </c>
      <c r="M10" s="390" t="str">
        <f t="shared" si="4"/>
        <v>Z73</v>
      </c>
      <c r="O10" s="389">
        <v>30000000070</v>
      </c>
      <c r="P10" s="385">
        <f>ROUND('Calculo IP ZDF'!B32,2)</f>
        <v>3897.06</v>
      </c>
      <c r="Q10" s="384" t="s">
        <v>408</v>
      </c>
      <c r="R10" s="384">
        <v>1</v>
      </c>
      <c r="S10" s="384" t="s">
        <v>427</v>
      </c>
      <c r="T10" s="384" t="s">
        <v>410</v>
      </c>
      <c r="U10" s="388" t="str">
        <f t="shared" si="2"/>
        <v>16.12.2020</v>
      </c>
      <c r="V10" s="388" t="str">
        <f t="shared" si="3"/>
        <v>20.01.2021</v>
      </c>
    </row>
    <row r="11" spans="1:22" x14ac:dyDescent="0.25">
      <c r="A11" s="384" t="s">
        <v>412</v>
      </c>
      <c r="B11" s="384">
        <v>543</v>
      </c>
      <c r="C11" s="384" t="s">
        <v>426</v>
      </c>
      <c r="M11" s="390" t="str">
        <f t="shared" si="4"/>
        <v>Z62</v>
      </c>
      <c r="O11" s="389">
        <v>30000000070</v>
      </c>
      <c r="P11" s="385">
        <f>ROUND('Calculo IP ZDF'!B33,2)</f>
        <v>4055.21</v>
      </c>
      <c r="Q11" s="384" t="s">
        <v>408</v>
      </c>
      <c r="R11" s="384">
        <v>1</v>
      </c>
      <c r="S11" s="384" t="s">
        <v>427</v>
      </c>
      <c r="T11" s="384" t="s">
        <v>410</v>
      </c>
      <c r="U11" s="388" t="str">
        <f>+U10</f>
        <v>16.12.2020</v>
      </c>
      <c r="V11" s="388" t="str">
        <f t="shared" si="3"/>
        <v>20.01.2021</v>
      </c>
    </row>
    <row r="12" spans="1:22" x14ac:dyDescent="0.25">
      <c r="A12" s="384" t="s">
        <v>406</v>
      </c>
      <c r="B12" s="384">
        <v>543</v>
      </c>
      <c r="C12" s="384" t="s">
        <v>426</v>
      </c>
      <c r="F12" s="384" t="s">
        <v>174</v>
      </c>
      <c r="M12" s="390" t="str">
        <f t="shared" ref="M12:M21" si="5">+M2</f>
        <v xml:space="preserve">Z64  </v>
      </c>
      <c r="O12" s="403">
        <v>30000002129</v>
      </c>
      <c r="P12" s="385">
        <f>ROUND('Calculo IP ZDF'!D28,2)</f>
        <v>4190.58</v>
      </c>
      <c r="Q12" s="384" t="s">
        <v>408</v>
      </c>
      <c r="R12" s="384">
        <v>1</v>
      </c>
      <c r="S12" s="384" t="s">
        <v>427</v>
      </c>
      <c r="T12" s="384" t="s">
        <v>410</v>
      </c>
      <c r="U12" s="388" t="str">
        <f t="shared" ref="U12:U16" si="6">+U11</f>
        <v>16.12.2020</v>
      </c>
      <c r="V12" s="388" t="str">
        <f t="shared" si="3"/>
        <v>20.01.2021</v>
      </c>
    </row>
    <row r="13" spans="1:22" x14ac:dyDescent="0.25">
      <c r="A13" s="384" t="s">
        <v>406</v>
      </c>
      <c r="B13" s="384">
        <v>543</v>
      </c>
      <c r="C13" s="384" t="s">
        <v>426</v>
      </c>
      <c r="M13" s="390" t="str">
        <f t="shared" si="5"/>
        <v>Z51</v>
      </c>
      <c r="O13" s="403">
        <v>30000002129</v>
      </c>
      <c r="P13" s="385">
        <f>ROUND('Calculo IP ZDF'!D29,2)</f>
        <v>3849.46</v>
      </c>
      <c r="Q13" s="384" t="s">
        <v>408</v>
      </c>
      <c r="R13" s="384">
        <v>1</v>
      </c>
      <c r="S13" s="384" t="s">
        <v>427</v>
      </c>
      <c r="T13" s="384" t="s">
        <v>410</v>
      </c>
      <c r="U13" s="388" t="str">
        <f t="shared" si="6"/>
        <v>16.12.2020</v>
      </c>
      <c r="V13" s="388" t="str">
        <f t="shared" si="3"/>
        <v>20.01.2021</v>
      </c>
    </row>
    <row r="14" spans="1:22" x14ac:dyDescent="0.25">
      <c r="A14" s="384" t="s">
        <v>406</v>
      </c>
      <c r="B14" s="384">
        <v>543</v>
      </c>
      <c r="C14" s="384" t="s">
        <v>426</v>
      </c>
      <c r="M14" s="390" t="str">
        <f t="shared" si="5"/>
        <v>Z65</v>
      </c>
      <c r="O14" s="403">
        <v>30000002129</v>
      </c>
      <c r="P14" s="385">
        <f>ROUND('Calculo IP ZDF'!D30,2)</f>
        <v>4190.58</v>
      </c>
      <c r="Q14" s="384" t="s">
        <v>408</v>
      </c>
      <c r="R14" s="384">
        <v>1</v>
      </c>
      <c r="S14" s="384" t="s">
        <v>427</v>
      </c>
      <c r="T14" s="384" t="s">
        <v>410</v>
      </c>
      <c r="U14" s="388" t="str">
        <f t="shared" si="6"/>
        <v>16.12.2020</v>
      </c>
      <c r="V14" s="388" t="str">
        <f t="shared" si="3"/>
        <v>20.01.2021</v>
      </c>
    </row>
    <row r="15" spans="1:22" x14ac:dyDescent="0.25">
      <c r="A15" s="384" t="s">
        <v>406</v>
      </c>
      <c r="B15" s="384">
        <v>543</v>
      </c>
      <c r="C15" s="384" t="s">
        <v>426</v>
      </c>
      <c r="M15" s="390" t="str">
        <f t="shared" si="5"/>
        <v>Z73</v>
      </c>
      <c r="O15" s="403">
        <v>30000002129</v>
      </c>
      <c r="P15" s="385">
        <f>ROUND('Calculo IP ZDF'!D32,2)</f>
        <v>4046</v>
      </c>
      <c r="Q15" s="384" t="s">
        <v>408</v>
      </c>
      <c r="R15" s="384">
        <v>1</v>
      </c>
      <c r="S15" s="384" t="s">
        <v>427</v>
      </c>
      <c r="T15" s="384" t="s">
        <v>410</v>
      </c>
      <c r="U15" s="388" t="str">
        <f t="shared" si="6"/>
        <v>16.12.2020</v>
      </c>
      <c r="V15" s="388" t="str">
        <f t="shared" si="3"/>
        <v>20.01.2021</v>
      </c>
    </row>
    <row r="16" spans="1:22" x14ac:dyDescent="0.25">
      <c r="A16" s="384" t="s">
        <v>406</v>
      </c>
      <c r="B16" s="384">
        <v>543</v>
      </c>
      <c r="C16" s="384" t="s">
        <v>426</v>
      </c>
      <c r="M16" s="390" t="str">
        <f t="shared" si="5"/>
        <v>Z62</v>
      </c>
      <c r="O16" s="403">
        <v>30000002129</v>
      </c>
      <c r="P16" s="385">
        <f>ROUND('Calculo IP ZDF'!D33,2)</f>
        <v>4077.01</v>
      </c>
      <c r="Q16" s="384" t="s">
        <v>408</v>
      </c>
      <c r="R16" s="384">
        <v>1</v>
      </c>
      <c r="S16" s="384" t="s">
        <v>427</v>
      </c>
      <c r="T16" s="384" t="s">
        <v>410</v>
      </c>
      <c r="U16" s="388" t="str">
        <f t="shared" si="6"/>
        <v>16.12.2020</v>
      </c>
      <c r="V16" s="388" t="str">
        <f t="shared" si="3"/>
        <v>20.01.2021</v>
      </c>
    </row>
    <row r="17" spans="1:25" x14ac:dyDescent="0.25">
      <c r="A17" s="384" t="s">
        <v>411</v>
      </c>
      <c r="B17" s="384">
        <v>543</v>
      </c>
      <c r="C17" s="384" t="s">
        <v>426</v>
      </c>
      <c r="F17" s="384" t="s">
        <v>174</v>
      </c>
      <c r="M17" s="390" t="str">
        <f t="shared" si="5"/>
        <v xml:space="preserve">Z64  </v>
      </c>
      <c r="O17" s="403">
        <v>30000002129</v>
      </c>
      <c r="P17" s="385">
        <f>ROUND('Calculo IP ZDF'!E28,2)</f>
        <v>283.62</v>
      </c>
      <c r="Q17" s="384" t="s">
        <v>408</v>
      </c>
      <c r="R17" s="384">
        <v>1</v>
      </c>
      <c r="S17" s="384" t="s">
        <v>427</v>
      </c>
      <c r="T17" s="384" t="s">
        <v>410</v>
      </c>
      <c r="U17" s="388" t="str">
        <f t="shared" ref="U17:U21" si="7">+U16</f>
        <v>16.12.2020</v>
      </c>
      <c r="V17" s="388" t="str">
        <f t="shared" si="3"/>
        <v>20.01.2021</v>
      </c>
    </row>
    <row r="18" spans="1:25" x14ac:dyDescent="0.25">
      <c r="A18" s="384" t="s">
        <v>411</v>
      </c>
      <c r="B18" s="384">
        <v>543</v>
      </c>
      <c r="C18" s="384" t="s">
        <v>426</v>
      </c>
      <c r="M18" s="390" t="str">
        <f t="shared" si="5"/>
        <v>Z51</v>
      </c>
      <c r="O18" s="403">
        <v>30000002129</v>
      </c>
      <c r="P18" s="385">
        <f>ROUND('Calculo IP ZDF'!E29,2)</f>
        <v>283.62</v>
      </c>
      <c r="Q18" s="384" t="s">
        <v>408</v>
      </c>
      <c r="R18" s="384">
        <v>1</v>
      </c>
      <c r="S18" s="384" t="s">
        <v>427</v>
      </c>
      <c r="T18" s="384" t="s">
        <v>410</v>
      </c>
      <c r="U18" s="388" t="str">
        <f t="shared" si="7"/>
        <v>16.12.2020</v>
      </c>
      <c r="V18" s="388" t="str">
        <f t="shared" si="3"/>
        <v>20.01.2021</v>
      </c>
    </row>
    <row r="19" spans="1:25" x14ac:dyDescent="0.25">
      <c r="A19" s="384" t="s">
        <v>411</v>
      </c>
      <c r="B19" s="384">
        <v>543</v>
      </c>
      <c r="C19" s="384" t="s">
        <v>426</v>
      </c>
      <c r="M19" s="390" t="str">
        <f t="shared" si="5"/>
        <v>Z65</v>
      </c>
      <c r="O19" s="403">
        <v>30000002129</v>
      </c>
      <c r="P19" s="385">
        <f>ROUND('Calculo IP ZDF'!E30,2)</f>
        <v>283.62</v>
      </c>
      <c r="Q19" s="384" t="s">
        <v>408</v>
      </c>
      <c r="R19" s="384">
        <v>1</v>
      </c>
      <c r="S19" s="384" t="s">
        <v>427</v>
      </c>
      <c r="T19" s="384" t="s">
        <v>410</v>
      </c>
      <c r="U19" s="388" t="str">
        <f t="shared" si="7"/>
        <v>16.12.2020</v>
      </c>
      <c r="V19" s="388" t="str">
        <f t="shared" si="3"/>
        <v>20.01.2021</v>
      </c>
    </row>
    <row r="20" spans="1:25" x14ac:dyDescent="0.25">
      <c r="A20" s="384" t="s">
        <v>411</v>
      </c>
      <c r="B20" s="384">
        <v>543</v>
      </c>
      <c r="C20" s="384" t="s">
        <v>426</v>
      </c>
      <c r="M20" s="390" t="str">
        <f t="shared" si="5"/>
        <v>Z73</v>
      </c>
      <c r="O20" s="403">
        <v>30000002129</v>
      </c>
      <c r="P20" s="385">
        <f>ROUND('Calculo IP ZDF'!E32,2)</f>
        <v>283.62</v>
      </c>
      <c r="Q20" s="384" t="s">
        <v>408</v>
      </c>
      <c r="R20" s="384">
        <v>1</v>
      </c>
      <c r="S20" s="384" t="s">
        <v>427</v>
      </c>
      <c r="T20" s="384" t="s">
        <v>410</v>
      </c>
      <c r="U20" s="388" t="str">
        <f t="shared" si="7"/>
        <v>16.12.2020</v>
      </c>
      <c r="V20" s="388" t="str">
        <f t="shared" si="3"/>
        <v>20.01.2021</v>
      </c>
    </row>
    <row r="21" spans="1:25" x14ac:dyDescent="0.25">
      <c r="A21" s="384" t="s">
        <v>411</v>
      </c>
      <c r="B21" s="384">
        <v>543</v>
      </c>
      <c r="C21" s="384" t="s">
        <v>426</v>
      </c>
      <c r="M21" s="390" t="str">
        <f t="shared" si="5"/>
        <v>Z62</v>
      </c>
      <c r="O21" s="403">
        <v>30000002129</v>
      </c>
      <c r="P21" s="385">
        <f>ROUND('Calculo IP ZDF'!E33,2)</f>
        <v>283.62</v>
      </c>
      <c r="Q21" s="384" t="s">
        <v>408</v>
      </c>
      <c r="R21" s="384">
        <v>1</v>
      </c>
      <c r="S21" s="384" t="s">
        <v>427</v>
      </c>
      <c r="T21" s="384" t="s">
        <v>410</v>
      </c>
      <c r="U21" s="388" t="str">
        <f t="shared" si="7"/>
        <v>16.12.2020</v>
      </c>
      <c r="V21" s="388" t="str">
        <f t="shared" si="3"/>
        <v>20.01.2021</v>
      </c>
    </row>
    <row r="22" spans="1:25" x14ac:dyDescent="0.25">
      <c r="A22" s="384" t="s">
        <v>412</v>
      </c>
      <c r="B22" s="384">
        <v>549</v>
      </c>
      <c r="C22" s="384" t="s">
        <v>426</v>
      </c>
      <c r="I22" s="384">
        <v>9000014799</v>
      </c>
      <c r="M22" s="390" t="str">
        <f>+M21</f>
        <v>Z62</v>
      </c>
      <c r="O22" s="384">
        <v>30000000003</v>
      </c>
      <c r="P22" s="385">
        <f>ROUND('Calculo IP ZDF'!C33,2)</f>
        <v>4160.22</v>
      </c>
      <c r="Q22" s="384" t="s">
        <v>408</v>
      </c>
      <c r="R22" s="384">
        <v>1</v>
      </c>
      <c r="S22" s="384" t="s">
        <v>427</v>
      </c>
      <c r="T22" s="384" t="s">
        <v>410</v>
      </c>
      <c r="U22" s="387" t="str">
        <f>+U21</f>
        <v>16.12.2020</v>
      </c>
      <c r="V22" s="387" t="str">
        <f>+V21</f>
        <v>20.01.2021</v>
      </c>
      <c r="W22" s="435" t="s">
        <v>441</v>
      </c>
      <c r="X22" s="436"/>
      <c r="Y22" s="436"/>
    </row>
  </sheetData>
  <autoFilter ref="A1:Y22"/>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6"/>
  <sheetViews>
    <sheetView workbookViewId="0">
      <selection activeCell="A12" sqref="A12"/>
    </sheetView>
  </sheetViews>
  <sheetFormatPr baseColWidth="10" defaultRowHeight="15" x14ac:dyDescent="0.25"/>
  <cols>
    <col min="1" max="1" width="17.5703125" style="384" bestFit="1" customWidth="1"/>
    <col min="2" max="2" width="17.28515625" style="384" bestFit="1" customWidth="1"/>
    <col min="3" max="3" width="21.7109375" style="384" bestFit="1" customWidth="1"/>
    <col min="4" max="4" width="19.7109375" style="384" bestFit="1" customWidth="1"/>
    <col min="5" max="5" width="6.42578125" style="384" bestFit="1" customWidth="1"/>
    <col min="6" max="6" width="6.7109375" style="384" bestFit="1" customWidth="1"/>
    <col min="7" max="7" width="4.5703125" style="384" bestFit="1" customWidth="1"/>
    <col min="8" max="8" width="17.140625" style="384" bestFit="1" customWidth="1"/>
    <col min="9" max="9" width="11.85546875" style="384" bestFit="1" customWidth="1"/>
    <col min="10" max="10" width="15.7109375" style="384" bestFit="1" customWidth="1"/>
    <col min="11" max="11" width="16.7109375" style="384" bestFit="1" customWidth="1"/>
    <col min="12" max="12" width="8" style="384" bestFit="1" customWidth="1"/>
    <col min="13" max="13" width="10.28515625" style="384" bestFit="1" customWidth="1"/>
    <col min="14" max="14" width="24.7109375" style="384" bestFit="1" customWidth="1"/>
    <col min="15" max="15" width="12.28515625" style="384" bestFit="1" customWidth="1"/>
    <col min="16" max="16" width="15.28515625" style="386" customWidth="1"/>
    <col min="17" max="17" width="19.140625" style="384" bestFit="1" customWidth="1"/>
    <col min="18" max="18" width="13.42578125" style="384" bestFit="1" customWidth="1"/>
    <col min="19" max="19" width="17.140625" style="384" bestFit="1" customWidth="1"/>
    <col min="20" max="20" width="15.42578125" style="384" bestFit="1" customWidth="1"/>
    <col min="21" max="22" width="10.7109375" style="387" bestFit="1" customWidth="1"/>
    <col min="23" max="16384" width="11.42578125" style="384"/>
  </cols>
  <sheetData>
    <row r="1" spans="1:25" x14ac:dyDescent="0.25">
      <c r="A1" s="384" t="s">
        <v>384</v>
      </c>
      <c r="B1" s="384" t="s">
        <v>385</v>
      </c>
      <c r="C1" s="384" t="s">
        <v>386</v>
      </c>
      <c r="D1" s="384" t="s">
        <v>387</v>
      </c>
      <c r="E1" s="384" t="s">
        <v>388</v>
      </c>
      <c r="F1" s="384" t="s">
        <v>389</v>
      </c>
      <c r="G1" s="384" t="s">
        <v>390</v>
      </c>
      <c r="H1" s="384" t="s">
        <v>391</v>
      </c>
      <c r="I1" s="384" t="s">
        <v>392</v>
      </c>
      <c r="J1" s="384" t="s">
        <v>393</v>
      </c>
      <c r="K1" s="384" t="s">
        <v>394</v>
      </c>
      <c r="L1" s="384" t="s">
        <v>395</v>
      </c>
      <c r="M1" s="384" t="s">
        <v>396</v>
      </c>
      <c r="N1" s="384" t="s">
        <v>397</v>
      </c>
      <c r="O1" s="385" t="s">
        <v>398</v>
      </c>
      <c r="P1" s="386" t="s">
        <v>399</v>
      </c>
      <c r="Q1" s="384" t="s">
        <v>400</v>
      </c>
      <c r="R1" s="384" t="s">
        <v>401</v>
      </c>
      <c r="S1" s="384" t="s">
        <v>402</v>
      </c>
      <c r="T1" s="384" t="s">
        <v>403</v>
      </c>
      <c r="U1" s="387" t="s">
        <v>404</v>
      </c>
      <c r="V1" s="387" t="s">
        <v>405</v>
      </c>
    </row>
    <row r="2" spans="1:25" x14ac:dyDescent="0.25">
      <c r="A2" s="408" t="s">
        <v>406</v>
      </c>
      <c r="B2" s="408">
        <v>543</v>
      </c>
      <c r="C2" s="408" t="s">
        <v>407</v>
      </c>
      <c r="D2" s="408"/>
      <c r="E2" s="408"/>
      <c r="F2" s="408" t="s">
        <v>174</v>
      </c>
      <c r="G2" s="408"/>
      <c r="H2" s="408"/>
      <c r="I2" s="408"/>
      <c r="J2" s="408"/>
      <c r="K2" s="408"/>
      <c r="L2" s="408"/>
      <c r="M2" s="453" t="str">
        <f>+'Calculo IP ZDF'!I25</f>
        <v>Z61</v>
      </c>
      <c r="N2" s="408"/>
      <c r="O2" s="389">
        <f>+'Calculo IP ZDF'!B43</f>
        <v>30000002129</v>
      </c>
      <c r="P2" s="472">
        <v>2841.08</v>
      </c>
      <c r="Q2" s="408" t="s">
        <v>408</v>
      </c>
      <c r="R2" s="408">
        <v>1</v>
      </c>
      <c r="S2" s="408" t="s">
        <v>409</v>
      </c>
      <c r="T2" s="408" t="s">
        <v>410</v>
      </c>
      <c r="U2" s="388" t="str">
        <f>+'Calculo IP ZDF'!B40</f>
        <v>16.12.2020</v>
      </c>
      <c r="V2" s="388" t="str">
        <f>+'Calculo IP ZDF'!C40</f>
        <v>20.01.2021</v>
      </c>
      <c r="X2" s="384">
        <v>4242.59</v>
      </c>
      <c r="Y2" s="384">
        <f>+P2-X2</f>
        <v>-1401.5100000000002</v>
      </c>
    </row>
    <row r="3" spans="1:25" hidden="1" x14ac:dyDescent="0.25">
      <c r="A3" s="384" t="s">
        <v>406</v>
      </c>
      <c r="B3" s="384">
        <v>543</v>
      </c>
      <c r="C3" s="384" t="s">
        <v>407</v>
      </c>
      <c r="F3" s="384" t="s">
        <v>174</v>
      </c>
      <c r="M3" s="390" t="str">
        <f>+'Calculo IP ZDF'!I26</f>
        <v>Z68</v>
      </c>
      <c r="O3" s="389">
        <f>+O2</f>
        <v>30000002129</v>
      </c>
      <c r="P3" s="385">
        <f>ROUND('Calculo IP ZDF'!D26,2)</f>
        <v>3742.61</v>
      </c>
      <c r="Q3" s="384" t="s">
        <v>408</v>
      </c>
      <c r="R3" s="384">
        <v>1</v>
      </c>
      <c r="S3" s="384" t="s">
        <v>409</v>
      </c>
      <c r="T3" s="384" t="s">
        <v>410</v>
      </c>
      <c r="U3" s="388" t="str">
        <f>+U2</f>
        <v>16.12.2020</v>
      </c>
      <c r="V3" s="388" t="str">
        <f>+V2</f>
        <v>20.01.2021</v>
      </c>
      <c r="X3" s="384">
        <v>4026.31</v>
      </c>
      <c r="Y3" s="384">
        <f t="shared" ref="Y3:Y46" si="0">+P3-X3</f>
        <v>-283.69999999999982</v>
      </c>
    </row>
    <row r="4" spans="1:25" hidden="1" x14ac:dyDescent="0.25">
      <c r="A4" s="384" t="s">
        <v>406</v>
      </c>
      <c r="B4" s="384">
        <v>543</v>
      </c>
      <c r="C4" s="384" t="s">
        <v>407</v>
      </c>
      <c r="M4" s="390" t="str">
        <f>+'Calculo IP ZDF'!I27</f>
        <v>Z67</v>
      </c>
      <c r="O4" s="389">
        <f t="shared" ref="O4:O27" si="1">+O3</f>
        <v>30000002129</v>
      </c>
      <c r="P4" s="385">
        <f>ROUND('Calculo IP ZDF'!D27,2)</f>
        <v>3968.06</v>
      </c>
      <c r="Q4" s="384" t="s">
        <v>408</v>
      </c>
      <c r="R4" s="384">
        <v>1</v>
      </c>
      <c r="S4" s="384" t="s">
        <v>409</v>
      </c>
      <c r="T4" s="384" t="s">
        <v>410</v>
      </c>
      <c r="U4" s="388" t="str">
        <f t="shared" ref="U4:V19" si="2">+U3</f>
        <v>16.12.2020</v>
      </c>
      <c r="V4" s="388" t="str">
        <f t="shared" si="2"/>
        <v>20.01.2021</v>
      </c>
      <c r="X4" s="384">
        <v>4147.91</v>
      </c>
      <c r="Y4" s="384">
        <f t="shared" si="0"/>
        <v>-179.84999999999991</v>
      </c>
    </row>
    <row r="5" spans="1:25" hidden="1" x14ac:dyDescent="0.25">
      <c r="A5" s="446" t="s">
        <v>406</v>
      </c>
      <c r="B5" s="446">
        <v>543</v>
      </c>
      <c r="C5" s="446" t="s">
        <v>407</v>
      </c>
      <c r="D5" s="446"/>
      <c r="E5" s="446"/>
      <c r="F5" s="446"/>
      <c r="G5" s="446"/>
      <c r="H5" s="446"/>
      <c r="I5" s="446"/>
      <c r="J5" s="446"/>
      <c r="K5" s="446"/>
      <c r="L5" s="446"/>
      <c r="M5" s="445" t="str">
        <f>+'Calculo IP ZDF'!I28</f>
        <v xml:space="preserve">Z64  </v>
      </c>
      <c r="N5" s="446"/>
      <c r="O5" s="447">
        <f t="shared" si="1"/>
        <v>30000002129</v>
      </c>
      <c r="P5" s="448">
        <f>ROUND('Calculo IP ZDF'!D28,2)</f>
        <v>4190.58</v>
      </c>
      <c r="Q5" s="446" t="s">
        <v>408</v>
      </c>
      <c r="R5" s="446">
        <v>1</v>
      </c>
      <c r="S5" s="446" t="s">
        <v>409</v>
      </c>
      <c r="T5" s="446" t="s">
        <v>410</v>
      </c>
      <c r="U5" s="449" t="str">
        <f t="shared" si="2"/>
        <v>16.12.2020</v>
      </c>
      <c r="V5" s="449" t="str">
        <f t="shared" si="2"/>
        <v>20.01.2021</v>
      </c>
      <c r="X5" s="384">
        <v>4618.07</v>
      </c>
      <c r="Y5" s="384">
        <f t="shared" si="0"/>
        <v>-427.48999999999978</v>
      </c>
    </row>
    <row r="6" spans="1:25" hidden="1" x14ac:dyDescent="0.25">
      <c r="A6" s="384" t="s">
        <v>406</v>
      </c>
      <c r="B6" s="384">
        <v>543</v>
      </c>
      <c r="C6" s="384" t="s">
        <v>407</v>
      </c>
      <c r="M6" s="390" t="s">
        <v>448</v>
      </c>
      <c r="O6" s="389">
        <f t="shared" si="1"/>
        <v>30000002129</v>
      </c>
      <c r="P6" s="385">
        <f>ROUND('Calculo IP ZDF'!D29,2)</f>
        <v>3849.46</v>
      </c>
      <c r="Q6" s="384" t="s">
        <v>408</v>
      </c>
      <c r="R6" s="384">
        <v>1</v>
      </c>
      <c r="S6" s="384" t="s">
        <v>409</v>
      </c>
      <c r="T6" s="384" t="s">
        <v>410</v>
      </c>
      <c r="U6" s="388" t="str">
        <f t="shared" si="2"/>
        <v>16.12.2020</v>
      </c>
      <c r="V6" s="388" t="str">
        <f t="shared" si="2"/>
        <v>20.01.2021</v>
      </c>
      <c r="X6" s="384">
        <v>4029.1</v>
      </c>
      <c r="Y6" s="384">
        <f t="shared" si="0"/>
        <v>-179.63999999999987</v>
      </c>
    </row>
    <row r="7" spans="1:25" hidden="1" x14ac:dyDescent="0.25">
      <c r="A7" s="384" t="s">
        <v>406</v>
      </c>
      <c r="B7" s="384">
        <v>543</v>
      </c>
      <c r="C7" s="384" t="s">
        <v>407</v>
      </c>
      <c r="M7" s="390" t="str">
        <f>+'Calculo IP ZDF'!I30</f>
        <v>Z65</v>
      </c>
      <c r="O7" s="389">
        <f t="shared" si="1"/>
        <v>30000002129</v>
      </c>
      <c r="P7" s="385">
        <f>ROUND('Calculo IP ZDF'!D30,2)</f>
        <v>4190.58</v>
      </c>
      <c r="Q7" s="384" t="s">
        <v>408</v>
      </c>
      <c r="R7" s="384">
        <v>1</v>
      </c>
      <c r="S7" s="384" t="s">
        <v>409</v>
      </c>
      <c r="T7" s="384" t="s">
        <v>410</v>
      </c>
      <c r="U7" s="388" t="str">
        <f t="shared" si="2"/>
        <v>16.12.2020</v>
      </c>
      <c r="V7" s="388" t="str">
        <f t="shared" si="2"/>
        <v>20.01.2021</v>
      </c>
      <c r="X7" s="384">
        <v>4618.07</v>
      </c>
      <c r="Y7" s="384">
        <f t="shared" si="0"/>
        <v>-427.48999999999978</v>
      </c>
    </row>
    <row r="8" spans="1:25" hidden="1" x14ac:dyDescent="0.25">
      <c r="A8" s="384" t="s">
        <v>406</v>
      </c>
      <c r="B8" s="384">
        <v>543</v>
      </c>
      <c r="C8" s="384" t="s">
        <v>407</v>
      </c>
      <c r="M8" s="390" t="str">
        <f>+'Calculo IP ZDF'!I31</f>
        <v>Z69</v>
      </c>
      <c r="O8" s="389">
        <f t="shared" si="1"/>
        <v>30000002129</v>
      </c>
      <c r="P8" s="385">
        <f>ROUND('Calculo IP ZDF'!D31,2)</f>
        <v>4087.91</v>
      </c>
      <c r="Q8" s="384" t="s">
        <v>408</v>
      </c>
      <c r="R8" s="384">
        <v>1</v>
      </c>
      <c r="S8" s="384" t="s">
        <v>409</v>
      </c>
      <c r="T8" s="384" t="s">
        <v>410</v>
      </c>
      <c r="U8" s="388" t="str">
        <f t="shared" si="2"/>
        <v>16.12.2020</v>
      </c>
      <c r="V8" s="388" t="str">
        <f t="shared" si="2"/>
        <v>20.01.2021</v>
      </c>
      <c r="X8" s="384">
        <v>4413.8599999999997</v>
      </c>
      <c r="Y8" s="384">
        <f t="shared" si="0"/>
        <v>-325.94999999999982</v>
      </c>
    </row>
    <row r="9" spans="1:25" hidden="1" x14ac:dyDescent="0.25">
      <c r="A9" s="384" t="s">
        <v>406</v>
      </c>
      <c r="B9" s="384">
        <v>543</v>
      </c>
      <c r="C9" s="384" t="s">
        <v>407</v>
      </c>
      <c r="M9" s="390" t="str">
        <f>+'Calculo IP ZDF'!I33</f>
        <v>Z62</v>
      </c>
      <c r="O9" s="389">
        <f>+O8</f>
        <v>30000002129</v>
      </c>
      <c r="P9" s="385">
        <f>ROUND('Calculo IP ZDF'!D33,2)</f>
        <v>4077.01</v>
      </c>
      <c r="Q9" s="384" t="s">
        <v>408</v>
      </c>
      <c r="R9" s="384">
        <v>1</v>
      </c>
      <c r="S9" s="384" t="s">
        <v>409</v>
      </c>
      <c r="T9" s="384" t="s">
        <v>410</v>
      </c>
      <c r="U9" s="388" t="str">
        <f>+U8</f>
        <v>16.12.2020</v>
      </c>
      <c r="V9" s="388" t="str">
        <f>+V8</f>
        <v>20.01.2021</v>
      </c>
      <c r="X9" s="384">
        <v>4406.43</v>
      </c>
      <c r="Y9" s="384">
        <f t="shared" si="0"/>
        <v>-329.42000000000007</v>
      </c>
    </row>
    <row r="10" spans="1:25" s="398" customFormat="1" hidden="1" x14ac:dyDescent="0.25">
      <c r="A10" s="398" t="s">
        <v>406</v>
      </c>
      <c r="B10" s="398">
        <v>543</v>
      </c>
      <c r="C10" s="398" t="s">
        <v>407</v>
      </c>
      <c r="M10" s="399" t="str">
        <f>+M9</f>
        <v>Z62</v>
      </c>
      <c r="O10" s="400">
        <f>+'Calculo IP ZDF'!B45</f>
        <v>30000009250</v>
      </c>
      <c r="P10" s="401">
        <f>+P9</f>
        <v>4077.01</v>
      </c>
      <c r="Q10" s="398" t="s">
        <v>408</v>
      </c>
      <c r="R10" s="398">
        <v>1</v>
      </c>
      <c r="S10" s="398" t="s">
        <v>409</v>
      </c>
      <c r="T10" s="398" t="s">
        <v>410</v>
      </c>
      <c r="U10" s="402" t="str">
        <f>+U9</f>
        <v>16.12.2020</v>
      </c>
      <c r="V10" s="402" t="str">
        <f>+V9</f>
        <v>20.01.2021</v>
      </c>
      <c r="X10" s="398">
        <v>4406.43</v>
      </c>
      <c r="Y10" s="384">
        <f t="shared" si="0"/>
        <v>-329.42000000000007</v>
      </c>
    </row>
    <row r="11" spans="1:25" hidden="1" x14ac:dyDescent="0.25">
      <c r="A11" s="384" t="s">
        <v>406</v>
      </c>
      <c r="B11" s="384">
        <v>543</v>
      </c>
      <c r="C11" s="384" t="s">
        <v>407</v>
      </c>
      <c r="M11" s="390" t="str">
        <f>+'Calculo IP ZDF'!I34</f>
        <v>Z60</v>
      </c>
      <c r="O11" s="389">
        <f>+O2</f>
        <v>30000002129</v>
      </c>
      <c r="P11" s="385">
        <f>ROUND('Calculo IP ZDF'!D34,2)</f>
        <v>4141.55</v>
      </c>
      <c r="Q11" s="384" t="s">
        <v>408</v>
      </c>
      <c r="R11" s="384">
        <v>1</v>
      </c>
      <c r="S11" s="384" t="s">
        <v>409</v>
      </c>
      <c r="T11" s="384" t="s">
        <v>410</v>
      </c>
      <c r="U11" s="388" t="str">
        <f>+U9</f>
        <v>16.12.2020</v>
      </c>
      <c r="V11" s="388" t="str">
        <f>+V9</f>
        <v>20.01.2021</v>
      </c>
      <c r="X11" s="384">
        <v>4334.03</v>
      </c>
      <c r="Y11" s="384">
        <f t="shared" si="0"/>
        <v>-192.47999999999956</v>
      </c>
    </row>
    <row r="12" spans="1:25" x14ac:dyDescent="0.25">
      <c r="A12" s="408" t="s">
        <v>406</v>
      </c>
      <c r="B12" s="408">
        <v>543</v>
      </c>
      <c r="C12" s="408" t="s">
        <v>407</v>
      </c>
      <c r="D12" s="408"/>
      <c r="E12" s="408"/>
      <c r="F12" s="408"/>
      <c r="G12" s="408"/>
      <c r="H12" s="408"/>
      <c r="I12" s="408"/>
      <c r="J12" s="408"/>
      <c r="K12" s="408"/>
      <c r="L12" s="408"/>
      <c r="M12" s="453" t="str">
        <f>+'Calculo IP ZDF'!I35</f>
        <v>Z63</v>
      </c>
      <c r="N12" s="408"/>
      <c r="O12" s="389">
        <f t="shared" si="1"/>
        <v>30000002129</v>
      </c>
      <c r="P12" s="472">
        <v>3203.12</v>
      </c>
      <c r="Q12" s="408" t="s">
        <v>408</v>
      </c>
      <c r="R12" s="408">
        <v>1</v>
      </c>
      <c r="S12" s="408" t="s">
        <v>409</v>
      </c>
      <c r="T12" s="408" t="s">
        <v>410</v>
      </c>
      <c r="U12" s="388" t="str">
        <f>+U11</f>
        <v>16.12.2020</v>
      </c>
      <c r="V12" s="388" t="str">
        <f>+'Calculo IP ZDF'!C40</f>
        <v>20.01.2021</v>
      </c>
      <c r="X12" s="384">
        <v>4399.01</v>
      </c>
      <c r="Y12" s="384">
        <f t="shared" si="0"/>
        <v>-1195.8900000000003</v>
      </c>
    </row>
    <row r="13" spans="1:25" hidden="1" x14ac:dyDescent="0.25">
      <c r="A13" s="384" t="s">
        <v>406</v>
      </c>
      <c r="B13" s="384">
        <v>543</v>
      </c>
      <c r="C13" s="384" t="s">
        <v>407</v>
      </c>
      <c r="M13" s="390" t="str">
        <f>+'Calculo IP ZDF'!I36</f>
        <v>Z70</v>
      </c>
      <c r="O13" s="389">
        <f t="shared" si="1"/>
        <v>30000002129</v>
      </c>
      <c r="P13" s="385">
        <f>ROUND('Calculo IP ZDF'!D36,2)</f>
        <v>4190.58</v>
      </c>
      <c r="Q13" s="384" t="s">
        <v>408</v>
      </c>
      <c r="R13" s="384">
        <v>1</v>
      </c>
      <c r="S13" s="384" t="s">
        <v>409</v>
      </c>
      <c r="T13" s="384" t="s">
        <v>410</v>
      </c>
      <c r="U13" s="388" t="str">
        <f t="shared" si="2"/>
        <v>16.12.2020</v>
      </c>
      <c r="V13" s="388" t="str">
        <f t="shared" si="2"/>
        <v>20.01.2021</v>
      </c>
      <c r="X13" s="384">
        <v>4618.07</v>
      </c>
      <c r="Y13" s="384">
        <f t="shared" si="0"/>
        <v>-427.48999999999978</v>
      </c>
    </row>
    <row r="14" spans="1:25" hidden="1" x14ac:dyDescent="0.25">
      <c r="A14" s="384" t="s">
        <v>406</v>
      </c>
      <c r="B14" s="384">
        <v>543</v>
      </c>
      <c r="C14" s="384" t="s">
        <v>407</v>
      </c>
      <c r="M14" s="390" t="str">
        <f>+'Calculo IP ZDF'!I37</f>
        <v>Z75</v>
      </c>
      <c r="O14" s="389">
        <f t="shared" si="1"/>
        <v>30000002129</v>
      </c>
      <c r="P14" s="385">
        <f>ROUND('Calculo IP ZDF'!D37,2)</f>
        <v>3733.8</v>
      </c>
      <c r="Q14" s="384" t="s">
        <v>408</v>
      </c>
      <c r="R14" s="384">
        <v>1</v>
      </c>
      <c r="S14" s="384" t="s">
        <v>409</v>
      </c>
      <c r="T14" s="384" t="s">
        <v>410</v>
      </c>
      <c r="U14" s="388" t="str">
        <f t="shared" si="2"/>
        <v>16.12.2020</v>
      </c>
      <c r="V14" s="388" t="str">
        <f t="shared" si="2"/>
        <v>20.01.2021</v>
      </c>
      <c r="X14" s="384">
        <v>4017.03</v>
      </c>
      <c r="Y14" s="384">
        <f t="shared" si="0"/>
        <v>-283.23</v>
      </c>
    </row>
    <row r="15" spans="1:25" x14ac:dyDescent="0.25">
      <c r="A15" s="408" t="s">
        <v>411</v>
      </c>
      <c r="B15" s="408">
        <v>543</v>
      </c>
      <c r="C15" s="408" t="s">
        <v>407</v>
      </c>
      <c r="D15" s="408"/>
      <c r="E15" s="408"/>
      <c r="F15" s="408"/>
      <c r="G15" s="408"/>
      <c r="H15" s="408"/>
      <c r="I15" s="408"/>
      <c r="J15" s="408"/>
      <c r="K15" s="408"/>
      <c r="L15" s="408"/>
      <c r="M15" s="453" t="str">
        <f>+'Calculo IP ZDF'!I25</f>
        <v>Z61</v>
      </c>
      <c r="N15" s="408"/>
      <c r="O15" s="389">
        <f t="shared" si="1"/>
        <v>30000002129</v>
      </c>
      <c r="P15" s="471">
        <f>ROUND('Calculo IP ZDF'!E25,2)</f>
        <v>283.62</v>
      </c>
      <c r="Q15" s="408" t="s">
        <v>408</v>
      </c>
      <c r="R15" s="408">
        <v>1</v>
      </c>
      <c r="S15" s="408" t="s">
        <v>409</v>
      </c>
      <c r="T15" s="408" t="s">
        <v>410</v>
      </c>
      <c r="U15" s="388" t="str">
        <f>+U14</f>
        <v>16.12.2020</v>
      </c>
      <c r="V15" s="388" t="str">
        <f>+V12</f>
        <v>20.01.2021</v>
      </c>
      <c r="X15" s="384">
        <v>230.3</v>
      </c>
      <c r="Y15" s="384">
        <f t="shared" si="0"/>
        <v>53.319999999999993</v>
      </c>
    </row>
    <row r="16" spans="1:25" hidden="1" x14ac:dyDescent="0.25">
      <c r="A16" s="384" t="s">
        <v>411</v>
      </c>
      <c r="B16" s="384">
        <v>543</v>
      </c>
      <c r="C16" s="384" t="s">
        <v>407</v>
      </c>
      <c r="M16" s="390" t="str">
        <f>+'Calculo IP ZDF'!I26</f>
        <v>Z68</v>
      </c>
      <c r="O16" s="389">
        <f t="shared" si="1"/>
        <v>30000002129</v>
      </c>
      <c r="P16" s="386">
        <f>ROUND('Calculo IP ZDF'!E26,2)</f>
        <v>283.62</v>
      </c>
      <c r="Q16" s="384" t="s">
        <v>408</v>
      </c>
      <c r="R16" s="384">
        <v>1</v>
      </c>
      <c r="S16" s="384" t="s">
        <v>409</v>
      </c>
      <c r="T16" s="384" t="s">
        <v>410</v>
      </c>
      <c r="U16" s="388" t="str">
        <f t="shared" si="2"/>
        <v>16.12.2020</v>
      </c>
      <c r="V16" s="388" t="str">
        <f t="shared" si="2"/>
        <v>20.01.2021</v>
      </c>
      <c r="X16" s="384">
        <v>230.3</v>
      </c>
      <c r="Y16" s="384">
        <f t="shared" si="0"/>
        <v>53.319999999999993</v>
      </c>
    </row>
    <row r="17" spans="1:25" hidden="1" x14ac:dyDescent="0.25">
      <c r="A17" s="384" t="s">
        <v>411</v>
      </c>
      <c r="B17" s="384">
        <v>543</v>
      </c>
      <c r="C17" s="384" t="s">
        <v>407</v>
      </c>
      <c r="M17" s="390" t="str">
        <f>+'Calculo IP ZDF'!I27</f>
        <v>Z67</v>
      </c>
      <c r="O17" s="389">
        <f t="shared" si="1"/>
        <v>30000002129</v>
      </c>
      <c r="P17" s="386">
        <f>ROUND('Calculo IP ZDF'!E27,2)</f>
        <v>283.62</v>
      </c>
      <c r="Q17" s="384" t="s">
        <v>408</v>
      </c>
      <c r="R17" s="384">
        <v>1</v>
      </c>
      <c r="S17" s="384" t="s">
        <v>409</v>
      </c>
      <c r="T17" s="384" t="s">
        <v>410</v>
      </c>
      <c r="U17" s="388" t="str">
        <f t="shared" si="2"/>
        <v>16.12.2020</v>
      </c>
      <c r="V17" s="388" t="str">
        <f t="shared" si="2"/>
        <v>20.01.2021</v>
      </c>
      <c r="X17" s="384">
        <v>230.3</v>
      </c>
      <c r="Y17" s="384">
        <f t="shared" si="0"/>
        <v>53.319999999999993</v>
      </c>
    </row>
    <row r="18" spans="1:25" hidden="1" x14ac:dyDescent="0.25">
      <c r="A18" s="446" t="s">
        <v>411</v>
      </c>
      <c r="B18" s="446">
        <v>543</v>
      </c>
      <c r="C18" s="446" t="s">
        <v>407</v>
      </c>
      <c r="D18" s="446"/>
      <c r="E18" s="446"/>
      <c r="F18" s="446"/>
      <c r="G18" s="446"/>
      <c r="H18" s="446"/>
      <c r="I18" s="446"/>
      <c r="J18" s="446"/>
      <c r="K18" s="446"/>
      <c r="L18" s="446"/>
      <c r="M18" s="445" t="str">
        <f>+M5</f>
        <v xml:space="preserve">Z64  </v>
      </c>
      <c r="N18" s="446"/>
      <c r="O18" s="447">
        <f t="shared" si="1"/>
        <v>30000002129</v>
      </c>
      <c r="P18" s="409">
        <f>ROUND('Calculo IP ZDF'!E28,2)</f>
        <v>283.62</v>
      </c>
      <c r="Q18" s="446" t="s">
        <v>408</v>
      </c>
      <c r="R18" s="446">
        <v>1</v>
      </c>
      <c r="S18" s="446" t="s">
        <v>409</v>
      </c>
      <c r="T18" s="446" t="s">
        <v>410</v>
      </c>
      <c r="U18" s="449" t="str">
        <f t="shared" si="2"/>
        <v>16.12.2020</v>
      </c>
      <c r="V18" s="449" t="str">
        <f t="shared" si="2"/>
        <v>20.01.2021</v>
      </c>
      <c r="X18" s="384">
        <v>230.3</v>
      </c>
      <c r="Y18" s="384">
        <f t="shared" si="0"/>
        <v>53.319999999999993</v>
      </c>
    </row>
    <row r="19" spans="1:25" hidden="1" x14ac:dyDescent="0.25">
      <c r="A19" s="384" t="s">
        <v>411</v>
      </c>
      <c r="B19" s="384">
        <v>543</v>
      </c>
      <c r="C19" s="384" t="s">
        <v>407</v>
      </c>
      <c r="M19" s="390" t="str">
        <f>+M6</f>
        <v>Z74</v>
      </c>
      <c r="O19" s="389">
        <f t="shared" si="1"/>
        <v>30000002129</v>
      </c>
      <c r="P19" s="386">
        <f>ROUND('Calculo IP ZDF'!E29,2)</f>
        <v>283.62</v>
      </c>
      <c r="Q19" s="384" t="s">
        <v>408</v>
      </c>
      <c r="R19" s="384">
        <v>1</v>
      </c>
      <c r="S19" s="384" t="s">
        <v>409</v>
      </c>
      <c r="T19" s="384" t="s">
        <v>410</v>
      </c>
      <c r="U19" s="388" t="str">
        <f t="shared" si="2"/>
        <v>16.12.2020</v>
      </c>
      <c r="V19" s="388" t="str">
        <f t="shared" si="2"/>
        <v>20.01.2021</v>
      </c>
      <c r="X19" s="384">
        <v>230.3</v>
      </c>
      <c r="Y19" s="384">
        <f t="shared" si="0"/>
        <v>53.319999999999993</v>
      </c>
    </row>
    <row r="20" spans="1:25" hidden="1" x14ac:dyDescent="0.25">
      <c r="A20" s="384" t="s">
        <v>411</v>
      </c>
      <c r="B20" s="384">
        <v>543</v>
      </c>
      <c r="C20" s="384" t="s">
        <v>407</v>
      </c>
      <c r="M20" s="390" t="str">
        <f>+'Calculo IP ZDF'!I30</f>
        <v>Z65</v>
      </c>
      <c r="O20" s="389">
        <f t="shared" si="1"/>
        <v>30000002129</v>
      </c>
      <c r="P20" s="386">
        <f>ROUND('Calculo IP ZDF'!E30,2)</f>
        <v>283.62</v>
      </c>
      <c r="Q20" s="384" t="s">
        <v>408</v>
      </c>
      <c r="R20" s="384">
        <v>1</v>
      </c>
      <c r="S20" s="384" t="s">
        <v>409</v>
      </c>
      <c r="T20" s="384" t="s">
        <v>410</v>
      </c>
      <c r="U20" s="388" t="str">
        <f t="shared" ref="U20:V35" si="3">+U19</f>
        <v>16.12.2020</v>
      </c>
      <c r="V20" s="388" t="str">
        <f t="shared" si="3"/>
        <v>20.01.2021</v>
      </c>
      <c r="X20" s="384">
        <v>230.3</v>
      </c>
      <c r="Y20" s="384">
        <f t="shared" si="0"/>
        <v>53.319999999999993</v>
      </c>
    </row>
    <row r="21" spans="1:25" hidden="1" x14ac:dyDescent="0.25">
      <c r="A21" s="384" t="s">
        <v>411</v>
      </c>
      <c r="B21" s="384">
        <v>543</v>
      </c>
      <c r="C21" s="384" t="s">
        <v>407</v>
      </c>
      <c r="M21" s="390" t="str">
        <f>+'Calculo IP ZDF'!I31</f>
        <v>Z69</v>
      </c>
      <c r="O21" s="389">
        <f t="shared" si="1"/>
        <v>30000002129</v>
      </c>
      <c r="P21" s="386">
        <f>ROUND('Calculo IP ZDF'!E31,2)</f>
        <v>283.62</v>
      </c>
      <c r="Q21" s="384" t="s">
        <v>408</v>
      </c>
      <c r="R21" s="384">
        <v>1</v>
      </c>
      <c r="S21" s="384" t="s">
        <v>409</v>
      </c>
      <c r="T21" s="384" t="s">
        <v>410</v>
      </c>
      <c r="U21" s="388" t="str">
        <f t="shared" si="3"/>
        <v>16.12.2020</v>
      </c>
      <c r="V21" s="388" t="str">
        <f t="shared" si="3"/>
        <v>20.01.2021</v>
      </c>
      <c r="X21" s="384">
        <v>230.3</v>
      </c>
      <c r="Y21" s="384">
        <f t="shared" si="0"/>
        <v>53.319999999999993</v>
      </c>
    </row>
    <row r="22" spans="1:25" hidden="1" x14ac:dyDescent="0.25">
      <c r="A22" s="384" t="s">
        <v>411</v>
      </c>
      <c r="B22" s="384">
        <v>543</v>
      </c>
      <c r="C22" s="384" t="s">
        <v>407</v>
      </c>
      <c r="M22" s="390" t="str">
        <f>+'Calculo IP ZDF'!I33</f>
        <v>Z62</v>
      </c>
      <c r="O22" s="389">
        <f t="shared" si="1"/>
        <v>30000002129</v>
      </c>
      <c r="P22" s="386">
        <f>ROUND('Calculo IP ZDF'!E33,2)</f>
        <v>283.62</v>
      </c>
      <c r="Q22" s="384" t="s">
        <v>408</v>
      </c>
      <c r="R22" s="384">
        <v>1</v>
      </c>
      <c r="S22" s="384" t="s">
        <v>409</v>
      </c>
      <c r="T22" s="384" t="s">
        <v>410</v>
      </c>
      <c r="U22" s="388" t="str">
        <f>+U21</f>
        <v>16.12.2020</v>
      </c>
      <c r="V22" s="388" t="str">
        <f>+V21</f>
        <v>20.01.2021</v>
      </c>
      <c r="X22" s="384">
        <v>230.3</v>
      </c>
      <c r="Y22" s="384">
        <f t="shared" si="0"/>
        <v>53.319999999999993</v>
      </c>
    </row>
    <row r="23" spans="1:25" s="398" customFormat="1" hidden="1" x14ac:dyDescent="0.25">
      <c r="A23" s="398" t="s">
        <v>411</v>
      </c>
      <c r="B23" s="398">
        <v>543</v>
      </c>
      <c r="C23" s="398" t="s">
        <v>407</v>
      </c>
      <c r="M23" s="399" t="str">
        <f>+M22</f>
        <v>Z62</v>
      </c>
      <c r="O23" s="403">
        <f>+O10</f>
        <v>30000009250</v>
      </c>
      <c r="P23" s="404">
        <f>ROUND('Calculo IP ZDF'!E34,2)</f>
        <v>283.62</v>
      </c>
      <c r="Q23" s="398" t="s">
        <v>408</v>
      </c>
      <c r="R23" s="398">
        <v>1</v>
      </c>
      <c r="S23" s="398" t="s">
        <v>409</v>
      </c>
      <c r="T23" s="398" t="s">
        <v>410</v>
      </c>
      <c r="U23" s="402" t="str">
        <f>+U22</f>
        <v>16.12.2020</v>
      </c>
      <c r="V23" s="402" t="str">
        <f>+V22</f>
        <v>20.01.2021</v>
      </c>
      <c r="X23" s="398">
        <v>230.3</v>
      </c>
      <c r="Y23" s="384">
        <f t="shared" si="0"/>
        <v>53.319999999999993</v>
      </c>
    </row>
    <row r="24" spans="1:25" hidden="1" x14ac:dyDescent="0.25">
      <c r="A24" s="384" t="s">
        <v>411</v>
      </c>
      <c r="B24" s="384">
        <v>543</v>
      </c>
      <c r="C24" s="384" t="s">
        <v>407</v>
      </c>
      <c r="M24" s="390" t="str">
        <f>+'Calculo IP ZDF'!I34</f>
        <v>Z60</v>
      </c>
      <c r="O24" s="389">
        <f>+O22</f>
        <v>30000002129</v>
      </c>
      <c r="P24" s="386">
        <f>ROUND('Calculo IP ZDF'!E34,2)</f>
        <v>283.62</v>
      </c>
      <c r="Q24" s="384" t="s">
        <v>408</v>
      </c>
      <c r="R24" s="384">
        <v>1</v>
      </c>
      <c r="S24" s="384" t="s">
        <v>409</v>
      </c>
      <c r="T24" s="384" t="s">
        <v>410</v>
      </c>
      <c r="U24" s="388" t="str">
        <f>+U22</f>
        <v>16.12.2020</v>
      </c>
      <c r="V24" s="388" t="str">
        <f>+V22</f>
        <v>20.01.2021</v>
      </c>
      <c r="X24" s="384">
        <v>230.3</v>
      </c>
      <c r="Y24" s="384">
        <f t="shared" si="0"/>
        <v>53.319999999999993</v>
      </c>
    </row>
    <row r="25" spans="1:25" x14ac:dyDescent="0.25">
      <c r="A25" s="408" t="s">
        <v>411</v>
      </c>
      <c r="B25" s="408">
        <v>543</v>
      </c>
      <c r="C25" s="408" t="s">
        <v>407</v>
      </c>
      <c r="D25" s="408"/>
      <c r="E25" s="408"/>
      <c r="F25" s="408"/>
      <c r="G25" s="408"/>
      <c r="H25" s="408"/>
      <c r="I25" s="408"/>
      <c r="J25" s="408"/>
      <c r="K25" s="408"/>
      <c r="L25" s="408"/>
      <c r="M25" s="453" t="str">
        <f>+'Calculo IP ZDF'!I35</f>
        <v>Z63</v>
      </c>
      <c r="N25" s="408"/>
      <c r="O25" s="389">
        <f t="shared" si="1"/>
        <v>30000002129</v>
      </c>
      <c r="P25" s="471">
        <f>ROUND('Calculo IP ZDF'!E35,2)</f>
        <v>283.62</v>
      </c>
      <c r="Q25" s="408" t="s">
        <v>408</v>
      </c>
      <c r="R25" s="408">
        <v>1</v>
      </c>
      <c r="S25" s="408" t="s">
        <v>409</v>
      </c>
      <c r="T25" s="408" t="s">
        <v>410</v>
      </c>
      <c r="U25" s="388" t="str">
        <f>+U24</f>
        <v>16.12.2020</v>
      </c>
      <c r="V25" s="388" t="str">
        <f>+V15</f>
        <v>20.01.2021</v>
      </c>
      <c r="X25" s="384">
        <v>230.3</v>
      </c>
      <c r="Y25" s="384">
        <f t="shared" si="0"/>
        <v>53.319999999999993</v>
      </c>
    </row>
    <row r="26" spans="1:25" hidden="1" x14ac:dyDescent="0.25">
      <c r="A26" s="384" t="s">
        <v>411</v>
      </c>
      <c r="B26" s="384">
        <v>543</v>
      </c>
      <c r="C26" s="384" t="s">
        <v>407</v>
      </c>
      <c r="M26" s="390" t="str">
        <f>+'Calculo IP ZDF'!I36</f>
        <v>Z70</v>
      </c>
      <c r="O26" s="389">
        <f t="shared" si="1"/>
        <v>30000002129</v>
      </c>
      <c r="P26" s="386">
        <f>ROUND('Calculo IP ZDF'!E36,2)</f>
        <v>283.62</v>
      </c>
      <c r="Q26" s="384" t="s">
        <v>408</v>
      </c>
      <c r="R26" s="384">
        <v>1</v>
      </c>
      <c r="S26" s="384" t="s">
        <v>409</v>
      </c>
      <c r="T26" s="384" t="s">
        <v>410</v>
      </c>
      <c r="U26" s="388" t="str">
        <f t="shared" si="3"/>
        <v>16.12.2020</v>
      </c>
      <c r="V26" s="388" t="str">
        <f t="shared" si="3"/>
        <v>20.01.2021</v>
      </c>
      <c r="X26" s="384">
        <v>230.3</v>
      </c>
      <c r="Y26" s="384">
        <f t="shared" si="0"/>
        <v>53.319999999999993</v>
      </c>
    </row>
    <row r="27" spans="1:25" hidden="1" x14ac:dyDescent="0.25">
      <c r="A27" s="384" t="s">
        <v>411</v>
      </c>
      <c r="B27" s="384">
        <v>543</v>
      </c>
      <c r="C27" s="384" t="s">
        <v>407</v>
      </c>
      <c r="M27" s="390" t="str">
        <f>+'Calculo IP ZDF'!I37</f>
        <v>Z75</v>
      </c>
      <c r="O27" s="389">
        <f t="shared" si="1"/>
        <v>30000002129</v>
      </c>
      <c r="P27" s="386">
        <f>ROUND('Calculo IP ZDF'!E37,2)</f>
        <v>283.62</v>
      </c>
      <c r="Q27" s="384" t="s">
        <v>408</v>
      </c>
      <c r="R27" s="384">
        <v>1</v>
      </c>
      <c r="S27" s="384" t="s">
        <v>409</v>
      </c>
      <c r="T27" s="384" t="s">
        <v>410</v>
      </c>
      <c r="U27" s="388" t="str">
        <f t="shared" si="3"/>
        <v>16.12.2020</v>
      </c>
      <c r="V27" s="388" t="str">
        <f t="shared" si="3"/>
        <v>20.01.2021</v>
      </c>
      <c r="X27" s="384">
        <v>230.3</v>
      </c>
      <c r="Y27" s="384">
        <f t="shared" si="0"/>
        <v>53.319999999999993</v>
      </c>
    </row>
    <row r="28" spans="1:25" x14ac:dyDescent="0.25">
      <c r="A28" s="408" t="s">
        <v>412</v>
      </c>
      <c r="B28" s="408">
        <v>543</v>
      </c>
      <c r="C28" s="408" t="s">
        <v>407</v>
      </c>
      <c r="D28" s="408"/>
      <c r="E28" s="408"/>
      <c r="F28" s="408"/>
      <c r="G28" s="408"/>
      <c r="H28" s="408"/>
      <c r="I28" s="408"/>
      <c r="J28" s="408"/>
      <c r="K28" s="408"/>
      <c r="L28" s="408"/>
      <c r="M28" s="470" t="str">
        <f>+'Calculo IP ZDF'!I25</f>
        <v>Z61</v>
      </c>
      <c r="N28" s="408"/>
      <c r="O28" s="408">
        <f>+'Calculo IP ZDF'!B44</f>
        <v>30000000070</v>
      </c>
      <c r="P28" s="471">
        <f>+'AMAZONAS 15-17 AGO'!C8</f>
        <v>2670.5640000000003</v>
      </c>
      <c r="Q28" s="408" t="s">
        <v>408</v>
      </c>
      <c r="R28" s="408">
        <v>1</v>
      </c>
      <c r="S28" s="408" t="s">
        <v>409</v>
      </c>
      <c r="T28" s="408" t="s">
        <v>410</v>
      </c>
      <c r="U28" s="388" t="str">
        <f>+U27</f>
        <v>16.12.2020</v>
      </c>
      <c r="V28" s="388" t="str">
        <f>+V25</f>
        <v>20.01.2021</v>
      </c>
      <c r="X28" s="384">
        <v>3980</v>
      </c>
      <c r="Y28" s="384">
        <f t="shared" si="0"/>
        <v>-1309.4359999999997</v>
      </c>
    </row>
    <row r="29" spans="1:25" hidden="1" x14ac:dyDescent="0.25">
      <c r="A29" s="384" t="s">
        <v>412</v>
      </c>
      <c r="B29" s="384">
        <v>543</v>
      </c>
      <c r="C29" s="384" t="s">
        <v>407</v>
      </c>
      <c r="M29" s="390" t="str">
        <f>+'Calculo IP ZDF'!I26</f>
        <v>Z68</v>
      </c>
      <c r="O29" s="384">
        <f>+O28</f>
        <v>30000000070</v>
      </c>
      <c r="P29" s="386">
        <f>ROUND('Calculo IP ZDF'!B26,2)</f>
        <v>3897.06</v>
      </c>
      <c r="Q29" s="384" t="s">
        <v>408</v>
      </c>
      <c r="R29" s="384">
        <v>1</v>
      </c>
      <c r="S29" s="384" t="s">
        <v>409</v>
      </c>
      <c r="T29" s="384" t="s">
        <v>410</v>
      </c>
      <c r="U29" s="388" t="str">
        <f t="shared" si="3"/>
        <v>16.12.2020</v>
      </c>
      <c r="V29" s="388" t="str">
        <f t="shared" si="3"/>
        <v>20.01.2021</v>
      </c>
      <c r="X29" s="384">
        <v>3980</v>
      </c>
      <c r="Y29" s="384">
        <f t="shared" si="0"/>
        <v>-82.940000000000055</v>
      </c>
    </row>
    <row r="30" spans="1:25" hidden="1" x14ac:dyDescent="0.25">
      <c r="A30" s="384" t="s">
        <v>412</v>
      </c>
      <c r="B30" s="384">
        <v>543</v>
      </c>
      <c r="C30" s="384" t="s">
        <v>407</v>
      </c>
      <c r="M30" s="390" t="str">
        <f>+'Calculo IP ZDF'!I27</f>
        <v>Z67</v>
      </c>
      <c r="O30" s="384">
        <f t="shared" ref="O30:O39" si="4">+O29</f>
        <v>30000000070</v>
      </c>
      <c r="P30" s="386">
        <f>ROUND('Calculo IP ZDF'!B27,2)</f>
        <v>4055.21</v>
      </c>
      <c r="Q30" s="384" t="s">
        <v>408</v>
      </c>
      <c r="R30" s="384">
        <v>1</v>
      </c>
      <c r="S30" s="384" t="s">
        <v>409</v>
      </c>
      <c r="T30" s="384" t="s">
        <v>410</v>
      </c>
      <c r="U30" s="388" t="str">
        <f t="shared" si="3"/>
        <v>16.12.2020</v>
      </c>
      <c r="V30" s="388" t="str">
        <f t="shared" si="3"/>
        <v>20.01.2021</v>
      </c>
      <c r="X30" s="384">
        <v>3980</v>
      </c>
      <c r="Y30" s="384">
        <f t="shared" si="0"/>
        <v>75.210000000000036</v>
      </c>
    </row>
    <row r="31" spans="1:25" hidden="1" x14ac:dyDescent="0.25">
      <c r="A31" s="446" t="s">
        <v>412</v>
      </c>
      <c r="B31" s="446">
        <v>543</v>
      </c>
      <c r="C31" s="446" t="s">
        <v>407</v>
      </c>
      <c r="D31" s="446"/>
      <c r="E31" s="446"/>
      <c r="F31" s="446"/>
      <c r="G31" s="446"/>
      <c r="H31" s="446"/>
      <c r="I31" s="446"/>
      <c r="J31" s="446"/>
      <c r="K31" s="446"/>
      <c r="L31" s="446"/>
      <c r="M31" s="445" t="str">
        <f>+M18</f>
        <v xml:space="preserve">Z64  </v>
      </c>
      <c r="N31" s="446"/>
      <c r="O31" s="446">
        <f t="shared" si="4"/>
        <v>30000000070</v>
      </c>
      <c r="P31" s="409">
        <f>ROUND('Calculo IP ZDF'!B28,2)</f>
        <v>4055.21</v>
      </c>
      <c r="Q31" s="446" t="s">
        <v>408</v>
      </c>
      <c r="R31" s="446">
        <v>1</v>
      </c>
      <c r="S31" s="446" t="s">
        <v>409</v>
      </c>
      <c r="T31" s="446" t="s">
        <v>410</v>
      </c>
      <c r="U31" s="449" t="str">
        <f t="shared" si="3"/>
        <v>16.12.2020</v>
      </c>
      <c r="V31" s="449" t="str">
        <f t="shared" si="3"/>
        <v>20.01.2021</v>
      </c>
      <c r="X31" s="384">
        <v>3980</v>
      </c>
      <c r="Y31" s="384">
        <f t="shared" si="0"/>
        <v>75.210000000000036</v>
      </c>
    </row>
    <row r="32" spans="1:25" hidden="1" x14ac:dyDescent="0.25">
      <c r="A32" s="384" t="s">
        <v>412</v>
      </c>
      <c r="B32" s="384">
        <v>543</v>
      </c>
      <c r="C32" s="384" t="s">
        <v>407</v>
      </c>
      <c r="M32" s="390" t="str">
        <f>+M19</f>
        <v>Z74</v>
      </c>
      <c r="O32" s="384">
        <f t="shared" si="4"/>
        <v>30000000070</v>
      </c>
      <c r="P32" s="386">
        <f>ROUND('Calculo IP ZDF'!B29,2)</f>
        <v>4006.14</v>
      </c>
      <c r="Q32" s="384" t="s">
        <v>408</v>
      </c>
      <c r="R32" s="384">
        <v>1</v>
      </c>
      <c r="S32" s="384" t="s">
        <v>409</v>
      </c>
      <c r="T32" s="384" t="s">
        <v>410</v>
      </c>
      <c r="U32" s="388" t="str">
        <f t="shared" si="3"/>
        <v>16.12.2020</v>
      </c>
      <c r="V32" s="388" t="str">
        <f t="shared" si="3"/>
        <v>20.01.2021</v>
      </c>
      <c r="X32" s="384">
        <v>3980</v>
      </c>
      <c r="Y32" s="384">
        <f t="shared" si="0"/>
        <v>26.139999999999873</v>
      </c>
    </row>
    <row r="33" spans="1:25" hidden="1" x14ac:dyDescent="0.25">
      <c r="A33" s="384" t="s">
        <v>412</v>
      </c>
      <c r="B33" s="384">
        <v>543</v>
      </c>
      <c r="C33" s="384" t="s">
        <v>407</v>
      </c>
      <c r="M33" s="390" t="str">
        <f>+'Calculo IP ZDF'!I30</f>
        <v>Z65</v>
      </c>
      <c r="O33" s="384">
        <f t="shared" si="4"/>
        <v>30000000070</v>
      </c>
      <c r="P33" s="386">
        <f>ROUND('Calculo IP ZDF'!B30,2)</f>
        <v>4055.21</v>
      </c>
      <c r="Q33" s="384" t="s">
        <v>408</v>
      </c>
      <c r="R33" s="384">
        <v>1</v>
      </c>
      <c r="S33" s="384" t="s">
        <v>409</v>
      </c>
      <c r="T33" s="384" t="s">
        <v>410</v>
      </c>
      <c r="U33" s="388" t="str">
        <f t="shared" si="3"/>
        <v>16.12.2020</v>
      </c>
      <c r="V33" s="388" t="str">
        <f t="shared" si="3"/>
        <v>20.01.2021</v>
      </c>
      <c r="X33" s="384">
        <v>3980</v>
      </c>
      <c r="Y33" s="384">
        <f t="shared" si="0"/>
        <v>75.210000000000036</v>
      </c>
    </row>
    <row r="34" spans="1:25" hidden="1" x14ac:dyDescent="0.25">
      <c r="A34" s="384" t="s">
        <v>412</v>
      </c>
      <c r="B34" s="384">
        <v>543</v>
      </c>
      <c r="C34" s="384" t="s">
        <v>407</v>
      </c>
      <c r="M34" s="390" t="str">
        <f>+'Calculo IP ZDF'!I31</f>
        <v>Z69</v>
      </c>
      <c r="O34" s="384">
        <f t="shared" si="4"/>
        <v>30000000070</v>
      </c>
      <c r="P34" s="386">
        <f>ROUND('Calculo IP ZDF'!B31,2)</f>
        <v>4055.21</v>
      </c>
      <c r="Q34" s="384" t="s">
        <v>408</v>
      </c>
      <c r="R34" s="384">
        <v>1</v>
      </c>
      <c r="S34" s="384" t="s">
        <v>409</v>
      </c>
      <c r="T34" s="384" t="s">
        <v>410</v>
      </c>
      <c r="U34" s="388" t="str">
        <f t="shared" si="3"/>
        <v>16.12.2020</v>
      </c>
      <c r="V34" s="388" t="str">
        <f t="shared" si="3"/>
        <v>20.01.2021</v>
      </c>
      <c r="X34" s="384">
        <v>3980</v>
      </c>
      <c r="Y34" s="384">
        <f t="shared" si="0"/>
        <v>75.210000000000036</v>
      </c>
    </row>
    <row r="35" spans="1:25" hidden="1" x14ac:dyDescent="0.25">
      <c r="A35" s="384" t="s">
        <v>412</v>
      </c>
      <c r="B35" s="384">
        <v>543</v>
      </c>
      <c r="C35" s="384" t="s">
        <v>407</v>
      </c>
      <c r="M35" s="390" t="str">
        <f>+'Calculo IP ZDF'!I33</f>
        <v>Z62</v>
      </c>
      <c r="O35" s="384">
        <f t="shared" si="4"/>
        <v>30000000070</v>
      </c>
      <c r="P35" s="386">
        <f>ROUND('Calculo IP ZDF'!B33,2)</f>
        <v>4055.21</v>
      </c>
      <c r="Q35" s="384" t="s">
        <v>408</v>
      </c>
      <c r="R35" s="384">
        <v>1</v>
      </c>
      <c r="S35" s="384" t="s">
        <v>409</v>
      </c>
      <c r="T35" s="384" t="s">
        <v>410</v>
      </c>
      <c r="U35" s="388" t="str">
        <f t="shared" si="3"/>
        <v>16.12.2020</v>
      </c>
      <c r="V35" s="388" t="str">
        <f t="shared" si="3"/>
        <v>20.01.2021</v>
      </c>
      <c r="X35" s="384">
        <v>3980</v>
      </c>
      <c r="Y35" s="384">
        <f t="shared" si="0"/>
        <v>75.210000000000036</v>
      </c>
    </row>
    <row r="36" spans="1:25" hidden="1" x14ac:dyDescent="0.25">
      <c r="A36" s="384" t="s">
        <v>412</v>
      </c>
      <c r="B36" s="384">
        <v>543</v>
      </c>
      <c r="C36" s="384" t="s">
        <v>407</v>
      </c>
      <c r="M36" s="390" t="str">
        <f>+'Calculo IP ZDF'!I34</f>
        <v>Z60</v>
      </c>
      <c r="O36" s="384">
        <f t="shared" si="4"/>
        <v>30000000070</v>
      </c>
      <c r="P36" s="386">
        <f>ROUND('Calculo IP ZDF'!B34,2)</f>
        <v>4005.74</v>
      </c>
      <c r="Q36" s="384" t="s">
        <v>408</v>
      </c>
      <c r="R36" s="384">
        <v>1</v>
      </c>
      <c r="S36" s="384" t="s">
        <v>409</v>
      </c>
      <c r="T36" s="384" t="s">
        <v>410</v>
      </c>
      <c r="U36" s="388" t="str">
        <f t="shared" ref="U36:V36" si="5">+U35</f>
        <v>16.12.2020</v>
      </c>
      <c r="V36" s="388" t="str">
        <f t="shared" si="5"/>
        <v>20.01.2021</v>
      </c>
      <c r="X36" s="384">
        <v>3980</v>
      </c>
      <c r="Y36" s="384">
        <f t="shared" si="0"/>
        <v>25.739999999999782</v>
      </c>
    </row>
    <row r="37" spans="1:25" x14ac:dyDescent="0.25">
      <c r="A37" s="408" t="s">
        <v>412</v>
      </c>
      <c r="B37" s="408">
        <v>543</v>
      </c>
      <c r="C37" s="408" t="s">
        <v>407</v>
      </c>
      <c r="D37" s="408"/>
      <c r="E37" s="408"/>
      <c r="F37" s="408"/>
      <c r="G37" s="408"/>
      <c r="H37" s="408"/>
      <c r="I37" s="408"/>
      <c r="J37" s="408"/>
      <c r="K37" s="408"/>
      <c r="L37" s="408"/>
      <c r="M37" s="470" t="str">
        <f>+'Calculo IP ZDF'!I35</f>
        <v>Z63</v>
      </c>
      <c r="N37" s="408"/>
      <c r="O37" s="408">
        <f t="shared" si="4"/>
        <v>30000000070</v>
      </c>
      <c r="P37" s="471">
        <f>+'PUTUMAYO 15-17 AGO'!C8</f>
        <v>2893.3124000000003</v>
      </c>
      <c r="Q37" s="408" t="s">
        <v>408</v>
      </c>
      <c r="R37" s="408">
        <v>1</v>
      </c>
      <c r="S37" s="408" t="s">
        <v>409</v>
      </c>
      <c r="T37" s="408" t="s">
        <v>410</v>
      </c>
      <c r="U37" s="388" t="str">
        <f>+U36</f>
        <v>16.12.2020</v>
      </c>
      <c r="V37" s="388" t="str">
        <f>+V28</f>
        <v>20.01.2021</v>
      </c>
      <c r="X37" s="384">
        <v>3980</v>
      </c>
      <c r="Y37" s="384">
        <f t="shared" si="0"/>
        <v>-1086.6875999999997</v>
      </c>
    </row>
    <row r="38" spans="1:25" hidden="1" x14ac:dyDescent="0.25">
      <c r="A38" s="384" t="s">
        <v>412</v>
      </c>
      <c r="B38" s="384">
        <v>543</v>
      </c>
      <c r="C38" s="384" t="s">
        <v>407</v>
      </c>
      <c r="M38" s="390" t="str">
        <f>+'Calculo IP ZDF'!I36</f>
        <v>Z70</v>
      </c>
      <c r="O38" s="384">
        <f t="shared" si="4"/>
        <v>30000000070</v>
      </c>
      <c r="P38" s="386">
        <f>ROUND('Calculo IP ZDF'!B36,2)</f>
        <v>4055.21</v>
      </c>
      <c r="Q38" s="384" t="s">
        <v>408</v>
      </c>
      <c r="R38" s="384">
        <v>1</v>
      </c>
      <c r="S38" s="384" t="s">
        <v>409</v>
      </c>
      <c r="T38" s="384" t="s">
        <v>410</v>
      </c>
      <c r="U38" s="388" t="str">
        <f t="shared" ref="U38:V46" si="6">+U37</f>
        <v>16.12.2020</v>
      </c>
      <c r="V38" s="388" t="str">
        <f t="shared" si="6"/>
        <v>20.01.2021</v>
      </c>
      <c r="X38" s="384">
        <v>3980</v>
      </c>
      <c r="Y38" s="384">
        <f t="shared" si="0"/>
        <v>75.210000000000036</v>
      </c>
    </row>
    <row r="39" spans="1:25" hidden="1" x14ac:dyDescent="0.25">
      <c r="A39" s="384" t="s">
        <v>412</v>
      </c>
      <c r="B39" s="384">
        <v>543</v>
      </c>
      <c r="C39" s="384" t="s">
        <v>407</v>
      </c>
      <c r="M39" s="390" t="str">
        <f>+'Calculo IP ZDF'!I37</f>
        <v>Z75</v>
      </c>
      <c r="O39" s="384">
        <f t="shared" si="4"/>
        <v>30000000070</v>
      </c>
      <c r="P39" s="386">
        <f>ROUND('Calculo IP ZDF'!B37,2)</f>
        <v>3897.06</v>
      </c>
      <c r="Q39" s="384" t="s">
        <v>408</v>
      </c>
      <c r="R39" s="384">
        <v>1</v>
      </c>
      <c r="S39" s="384" t="s">
        <v>409</v>
      </c>
      <c r="T39" s="384" t="s">
        <v>410</v>
      </c>
      <c r="U39" s="388" t="str">
        <f t="shared" si="6"/>
        <v>16.12.2020</v>
      </c>
      <c r="V39" s="388" t="str">
        <f t="shared" si="6"/>
        <v>20.01.2021</v>
      </c>
      <c r="X39" s="384">
        <v>3980</v>
      </c>
      <c r="Y39" s="384">
        <f t="shared" si="0"/>
        <v>-82.940000000000055</v>
      </c>
    </row>
    <row r="40" spans="1:25" hidden="1" x14ac:dyDescent="0.25">
      <c r="A40" s="384" t="s">
        <v>412</v>
      </c>
      <c r="B40" s="408">
        <v>587</v>
      </c>
      <c r="C40" s="384" t="s">
        <v>407</v>
      </c>
      <c r="F40" s="384">
        <v>3003</v>
      </c>
      <c r="M40" s="390" t="s">
        <v>379</v>
      </c>
      <c r="O40" s="384">
        <v>30000009113</v>
      </c>
      <c r="P40" s="386">
        <f>ROUND(+'Calculo IP ZDF'!B33,2)</f>
        <v>4055.21</v>
      </c>
      <c r="Q40" s="384" t="s">
        <v>408</v>
      </c>
      <c r="R40" s="384">
        <v>1</v>
      </c>
      <c r="S40" s="384" t="s">
        <v>409</v>
      </c>
      <c r="T40" s="384" t="s">
        <v>410</v>
      </c>
      <c r="U40" s="388" t="str">
        <f t="shared" si="6"/>
        <v>16.12.2020</v>
      </c>
      <c r="V40" s="388" t="str">
        <f t="shared" si="6"/>
        <v>20.01.2021</v>
      </c>
      <c r="X40" s="384">
        <v>3980</v>
      </c>
      <c r="Y40" s="384">
        <f t="shared" si="0"/>
        <v>75.210000000000036</v>
      </c>
    </row>
    <row r="41" spans="1:25" hidden="1" x14ac:dyDescent="0.25">
      <c r="A41" s="384" t="s">
        <v>433</v>
      </c>
      <c r="B41" s="408">
        <v>587</v>
      </c>
      <c r="C41" s="384" t="s">
        <v>407</v>
      </c>
      <c r="F41" s="384">
        <v>3003</v>
      </c>
      <c r="M41" s="390" t="s">
        <v>379</v>
      </c>
      <c r="O41" s="384">
        <v>30000009113</v>
      </c>
      <c r="P41" s="469">
        <v>8.14</v>
      </c>
      <c r="Q41" s="384" t="s">
        <v>408</v>
      </c>
      <c r="R41" s="384">
        <v>1</v>
      </c>
      <c r="S41" s="384" t="s">
        <v>409</v>
      </c>
      <c r="T41" s="384" t="s">
        <v>410</v>
      </c>
      <c r="U41" s="388" t="str">
        <f t="shared" si="6"/>
        <v>16.12.2020</v>
      </c>
      <c r="V41" s="388" t="str">
        <f t="shared" si="6"/>
        <v>20.01.2021</v>
      </c>
      <c r="X41" s="384">
        <v>8.14</v>
      </c>
      <c r="Y41" s="384">
        <f t="shared" si="0"/>
        <v>0</v>
      </c>
    </row>
    <row r="42" spans="1:25" hidden="1" x14ac:dyDescent="0.25">
      <c r="A42" s="384" t="s">
        <v>412</v>
      </c>
      <c r="B42" s="408">
        <v>587</v>
      </c>
      <c r="C42" s="384" t="s">
        <v>407</v>
      </c>
      <c r="F42" s="384">
        <v>3003</v>
      </c>
      <c r="M42" s="390" t="s">
        <v>379</v>
      </c>
      <c r="O42" s="384">
        <v>30000000003</v>
      </c>
      <c r="P42" s="386">
        <f>ROUND(+'Calculo IP ZDF'!C33,2)</f>
        <v>4160.22</v>
      </c>
      <c r="Q42" s="384" t="s">
        <v>408</v>
      </c>
      <c r="R42" s="384">
        <v>1</v>
      </c>
      <c r="S42" s="384" t="s">
        <v>409</v>
      </c>
      <c r="T42" s="384" t="s">
        <v>410</v>
      </c>
      <c r="U42" s="388" t="str">
        <f t="shared" si="6"/>
        <v>16.12.2020</v>
      </c>
      <c r="V42" s="388" t="str">
        <f t="shared" si="6"/>
        <v>20.01.2021</v>
      </c>
      <c r="X42" s="384">
        <v>4496.3599999999997</v>
      </c>
      <c r="Y42" s="384">
        <f t="shared" si="0"/>
        <v>-336.13999999999942</v>
      </c>
    </row>
    <row r="43" spans="1:25" hidden="1" x14ac:dyDescent="0.25">
      <c r="A43" s="384" t="s">
        <v>433</v>
      </c>
      <c r="B43" s="408">
        <v>587</v>
      </c>
      <c r="C43" s="384" t="s">
        <v>407</v>
      </c>
      <c r="F43" s="384">
        <v>3003</v>
      </c>
      <c r="M43" s="390" t="s">
        <v>379</v>
      </c>
      <c r="O43" s="384">
        <v>30000000003</v>
      </c>
      <c r="P43" s="409">
        <f>+P41</f>
        <v>8.14</v>
      </c>
      <c r="Q43" s="384" t="s">
        <v>408</v>
      </c>
      <c r="R43" s="384">
        <v>1</v>
      </c>
      <c r="S43" s="384" t="s">
        <v>409</v>
      </c>
      <c r="T43" s="384" t="s">
        <v>410</v>
      </c>
      <c r="U43" s="388" t="str">
        <f t="shared" si="6"/>
        <v>16.12.2020</v>
      </c>
      <c r="V43" s="388" t="str">
        <f t="shared" si="6"/>
        <v>20.01.2021</v>
      </c>
      <c r="X43" s="384">
        <v>8.14</v>
      </c>
      <c r="Y43" s="384">
        <f t="shared" si="0"/>
        <v>0</v>
      </c>
    </row>
    <row r="44" spans="1:25" hidden="1" x14ac:dyDescent="0.25">
      <c r="A44" s="384" t="s">
        <v>406</v>
      </c>
      <c r="B44" s="384">
        <v>543</v>
      </c>
      <c r="C44" s="384" t="s">
        <v>407</v>
      </c>
      <c r="M44" s="445" t="str">
        <f>+'Calculo IP ZDF'!I38</f>
        <v>Z66</v>
      </c>
      <c r="O44" s="384">
        <v>30000002129</v>
      </c>
      <c r="P44" s="386">
        <f>ROUND(+'Calculo IP ZDF'!D38,2)</f>
        <v>4190.58</v>
      </c>
      <c r="Q44" s="384" t="s">
        <v>408</v>
      </c>
      <c r="R44" s="384">
        <v>1</v>
      </c>
      <c r="S44" s="384" t="s">
        <v>409</v>
      </c>
      <c r="T44" s="384" t="s">
        <v>410</v>
      </c>
      <c r="U44" s="388" t="str">
        <f t="shared" si="6"/>
        <v>16.12.2020</v>
      </c>
      <c r="V44" s="388" t="str">
        <f t="shared" si="6"/>
        <v>20.01.2021</v>
      </c>
      <c r="X44" s="384">
        <v>4618.07</v>
      </c>
      <c r="Y44" s="384">
        <f t="shared" si="0"/>
        <v>-427.48999999999978</v>
      </c>
    </row>
    <row r="45" spans="1:25" hidden="1" x14ac:dyDescent="0.25">
      <c r="A45" s="384" t="s">
        <v>411</v>
      </c>
      <c r="B45" s="384">
        <v>543</v>
      </c>
      <c r="C45" s="384" t="s">
        <v>407</v>
      </c>
      <c r="M45" s="445" t="str">
        <f>+M44</f>
        <v>Z66</v>
      </c>
      <c r="O45" s="384">
        <v>30000002129</v>
      </c>
      <c r="P45" s="386">
        <f>ROUND(+'Calculo IP ZDF'!E38,2)</f>
        <v>283.62</v>
      </c>
      <c r="Q45" s="384" t="s">
        <v>408</v>
      </c>
      <c r="R45" s="384">
        <v>1</v>
      </c>
      <c r="S45" s="384" t="s">
        <v>409</v>
      </c>
      <c r="T45" s="384" t="s">
        <v>410</v>
      </c>
      <c r="U45" s="388" t="str">
        <f t="shared" si="6"/>
        <v>16.12.2020</v>
      </c>
      <c r="V45" s="388" t="str">
        <f t="shared" si="6"/>
        <v>20.01.2021</v>
      </c>
      <c r="X45" s="384">
        <v>230.3</v>
      </c>
      <c r="Y45" s="384">
        <f t="shared" si="0"/>
        <v>53.319999999999993</v>
      </c>
    </row>
    <row r="46" spans="1:25" hidden="1" x14ac:dyDescent="0.25">
      <c r="A46" s="384" t="s">
        <v>412</v>
      </c>
      <c r="B46" s="384">
        <v>543</v>
      </c>
      <c r="C46" s="384" t="s">
        <v>407</v>
      </c>
      <c r="M46" s="390" t="str">
        <f>+M45</f>
        <v>Z66</v>
      </c>
      <c r="O46" s="384">
        <f>+'Calculo IP ZDF'!B44</f>
        <v>30000000070</v>
      </c>
      <c r="P46" s="386">
        <f>ROUND(+'Calculo IP ZDF'!B38,2)</f>
        <v>4055.21</v>
      </c>
      <c r="Q46" s="384" t="s">
        <v>408</v>
      </c>
      <c r="R46" s="384">
        <v>1</v>
      </c>
      <c r="S46" s="384" t="s">
        <v>409</v>
      </c>
      <c r="T46" s="384" t="s">
        <v>410</v>
      </c>
      <c r="U46" s="388" t="str">
        <f t="shared" si="6"/>
        <v>16.12.2020</v>
      </c>
      <c r="V46" s="388" t="str">
        <f t="shared" si="6"/>
        <v>20.01.2021</v>
      </c>
      <c r="X46" s="384">
        <v>3980</v>
      </c>
      <c r="Y46" s="384">
        <f t="shared" si="0"/>
        <v>75.210000000000036</v>
      </c>
    </row>
  </sheetData>
  <autoFilter ref="A1:V46">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zoomScale="85" zoomScaleNormal="85" workbookViewId="0">
      <selection activeCell="E37" sqref="E37"/>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78" t="s">
        <v>451</v>
      </c>
      <c r="M1" t="s">
        <v>174</v>
      </c>
    </row>
    <row r="2" spans="1:13" x14ac:dyDescent="0.25">
      <c r="A2" s="515" t="s">
        <v>122</v>
      </c>
      <c r="B2" s="514" t="s">
        <v>121</v>
      </c>
      <c r="C2" s="514"/>
      <c r="G2" t="s">
        <v>174</v>
      </c>
    </row>
    <row r="3" spans="1:13" x14ac:dyDescent="0.25">
      <c r="A3" s="515"/>
      <c r="B3" s="379" t="s">
        <v>460</v>
      </c>
      <c r="C3" s="380" t="s">
        <v>108</v>
      </c>
    </row>
    <row r="4" spans="1:13" x14ac:dyDescent="0.25">
      <c r="A4" s="22" t="s">
        <v>109</v>
      </c>
      <c r="B4" s="24">
        <v>1</v>
      </c>
      <c r="C4" s="24">
        <v>0.95709999999999995</v>
      </c>
    </row>
    <row r="5" spans="1:13" x14ac:dyDescent="0.25">
      <c r="A5" s="22" t="s">
        <v>117</v>
      </c>
      <c r="B5" s="24">
        <v>0.96099999999999997</v>
      </c>
      <c r="C5" s="25">
        <v>0.8931</v>
      </c>
    </row>
    <row r="6" spans="1:13" x14ac:dyDescent="0.25">
      <c r="A6" s="22" t="s">
        <v>114</v>
      </c>
      <c r="B6" s="24">
        <v>1</v>
      </c>
      <c r="C6" s="24">
        <v>0.94689999999999996</v>
      </c>
      <c r="F6" t="s">
        <v>453</v>
      </c>
    </row>
    <row r="7" spans="1:13" x14ac:dyDescent="0.25">
      <c r="A7" s="22" t="s">
        <v>110</v>
      </c>
      <c r="B7" s="24">
        <v>1</v>
      </c>
      <c r="C7" s="24">
        <v>1</v>
      </c>
    </row>
    <row r="8" spans="1:13" x14ac:dyDescent="0.25">
      <c r="A8" s="22" t="s">
        <v>115</v>
      </c>
      <c r="B8" s="24">
        <v>0.9879</v>
      </c>
      <c r="C8" s="25">
        <v>0.91859999999999997</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5">
        <v>0.96550000000000002</v>
      </c>
    </row>
    <row r="12" spans="1:13" x14ac:dyDescent="0.25">
      <c r="A12" s="22" t="s">
        <v>112</v>
      </c>
      <c r="B12" s="24">
        <v>1</v>
      </c>
      <c r="C12" s="25">
        <v>0.97289999999999999</v>
      </c>
      <c r="H12" s="434"/>
    </row>
    <row r="13" spans="1:13" x14ac:dyDescent="0.25">
      <c r="A13" s="22" t="s">
        <v>111</v>
      </c>
      <c r="B13" s="24">
        <v>0.98780000000000001</v>
      </c>
      <c r="C13" s="25">
        <v>0.98829999999999996</v>
      </c>
      <c r="F13" t="s">
        <v>454</v>
      </c>
    </row>
    <row r="14" spans="1:13" x14ac:dyDescent="0.25">
      <c r="A14" s="22" t="s">
        <v>352</v>
      </c>
      <c r="B14" s="24">
        <v>1</v>
      </c>
      <c r="C14" s="24">
        <v>0.97389999999999999</v>
      </c>
    </row>
    <row r="15" spans="1:13" x14ac:dyDescent="0.25">
      <c r="A15" s="22" t="s">
        <v>119</v>
      </c>
      <c r="B15" s="24">
        <v>1</v>
      </c>
      <c r="C15" s="24">
        <v>1</v>
      </c>
    </row>
    <row r="16" spans="1:13" x14ac:dyDescent="0.25">
      <c r="A16" s="22" t="s">
        <v>116</v>
      </c>
      <c r="B16" s="24">
        <v>0.96099999999999997</v>
      </c>
      <c r="C16" s="25">
        <v>0.89100000000000001</v>
      </c>
    </row>
    <row r="17" spans="1:14" x14ac:dyDescent="0.25">
      <c r="A17" s="22" t="s">
        <v>366</v>
      </c>
      <c r="B17" s="24">
        <v>1</v>
      </c>
      <c r="C17" s="24">
        <v>1</v>
      </c>
    </row>
    <row r="20" spans="1:14" x14ac:dyDescent="0.25">
      <c r="A20" s="381" t="s">
        <v>270</v>
      </c>
      <c r="B20" s="381" t="s">
        <v>120</v>
      </c>
      <c r="C20" s="381" t="s">
        <v>269</v>
      </c>
      <c r="D20" s="381" t="s">
        <v>271</v>
      </c>
      <c r="E20" s="381" t="s">
        <v>272</v>
      </c>
      <c r="F20" s="376"/>
    </row>
    <row r="21" spans="1:14" ht="15.75" customHeight="1" x14ac:dyDescent="0.25">
      <c r="A21" s="22" t="s">
        <v>370</v>
      </c>
      <c r="B21" s="492">
        <v>4055.21</v>
      </c>
      <c r="C21" s="492">
        <v>4276.1000000000004</v>
      </c>
      <c r="D21" s="492">
        <v>14180.97</v>
      </c>
      <c r="E21" s="492">
        <v>8250.25</v>
      </c>
      <c r="H21" s="473" t="s">
        <v>468</v>
      </c>
    </row>
    <row r="22" spans="1:14" x14ac:dyDescent="0.25">
      <c r="B22" s="208"/>
      <c r="C22" s="208"/>
      <c r="D22" s="208"/>
      <c r="E22" s="208"/>
    </row>
    <row r="23" spans="1:14" x14ac:dyDescent="0.25">
      <c r="B23" s="208"/>
      <c r="C23" s="208"/>
      <c r="D23" s="208"/>
      <c r="E23" s="208"/>
      <c r="K23" t="s">
        <v>424</v>
      </c>
      <c r="N23" t="s">
        <v>425</v>
      </c>
    </row>
    <row r="24" spans="1:14" s="377" customFormat="1" ht="66" customHeight="1" x14ac:dyDescent="0.25">
      <c r="A24" s="382" t="s">
        <v>268</v>
      </c>
      <c r="B24" s="383" t="s">
        <v>419</v>
      </c>
      <c r="C24" s="383" t="s">
        <v>420</v>
      </c>
      <c r="D24" s="395" t="s">
        <v>372</v>
      </c>
      <c r="E24" s="395" t="s">
        <v>373</v>
      </c>
      <c r="F24" s="396" t="s">
        <v>421</v>
      </c>
      <c r="G24" s="383" t="s">
        <v>371</v>
      </c>
      <c r="H24" s="382" t="s">
        <v>442</v>
      </c>
      <c r="I24" s="406" t="s">
        <v>423</v>
      </c>
    </row>
    <row r="25" spans="1:14" x14ac:dyDescent="0.25">
      <c r="A25" s="209" t="s">
        <v>109</v>
      </c>
      <c r="B25" s="444">
        <f>+B$21*B4</f>
        <v>4055.21</v>
      </c>
      <c r="C25" s="209">
        <f t="shared" ref="B25:C38" si="0">+C$21*C4</f>
        <v>4092.6553100000001</v>
      </c>
      <c r="D25" s="209">
        <f>+C25*0.98</f>
        <v>4010.8022037999999</v>
      </c>
      <c r="E25" s="209">
        <f>+D$21*0.02</f>
        <v>283.61939999999998</v>
      </c>
      <c r="F25" s="444">
        <f>+D25+E25</f>
        <v>4294.4216037999995</v>
      </c>
      <c r="G25" s="229">
        <f>(B25*90%)+('GAS CTE'!D$8)</f>
        <v>4474.7190000000001</v>
      </c>
      <c r="H25" s="229">
        <f>(C25*90%)+(BIODIESEL!G$8)</f>
        <v>5101.4897789999995</v>
      </c>
      <c r="I25" s="405" t="s">
        <v>374</v>
      </c>
    </row>
    <row r="26" spans="1:14" x14ac:dyDescent="0.25">
      <c r="A26" s="209" t="s">
        <v>117</v>
      </c>
      <c r="B26" s="444">
        <f t="shared" si="0"/>
        <v>3897.05681</v>
      </c>
      <c r="C26" s="209">
        <f t="shared" si="0"/>
        <v>3818.9849100000001</v>
      </c>
      <c r="D26" s="209">
        <f t="shared" ref="D26:D38" si="1">+C26*0.98</f>
        <v>3742.6052118000002</v>
      </c>
      <c r="E26" s="209">
        <f t="shared" ref="E26:E38" si="2">+D$21*0.02</f>
        <v>283.61939999999998</v>
      </c>
      <c r="F26" s="444">
        <f>+D26+E26</f>
        <v>4026.2246118000003</v>
      </c>
      <c r="G26" s="229">
        <f>(B26*90%)+('GAS CTE'!D$8)</f>
        <v>4332.3811290000003</v>
      </c>
      <c r="H26" s="229">
        <f>(C26*90%)+(BIODIESEL!G$8)</f>
        <v>4855.1864189999997</v>
      </c>
      <c r="I26" s="405" t="s">
        <v>375</v>
      </c>
    </row>
    <row r="27" spans="1:14" x14ac:dyDescent="0.25">
      <c r="A27" s="209" t="s">
        <v>114</v>
      </c>
      <c r="B27" s="444">
        <f t="shared" si="0"/>
        <v>4055.21</v>
      </c>
      <c r="C27" s="209">
        <f t="shared" si="0"/>
        <v>4049.0390900000002</v>
      </c>
      <c r="D27" s="209">
        <f t="shared" si="1"/>
        <v>3968.0583082000003</v>
      </c>
      <c r="E27" s="209">
        <f t="shared" si="2"/>
        <v>283.61939999999998</v>
      </c>
      <c r="F27" s="444">
        <f>+D27+E27</f>
        <v>4251.6777081999999</v>
      </c>
      <c r="G27" s="229">
        <f>(B27*90%)+('GAS CTE'!D$8)</f>
        <v>4474.7190000000001</v>
      </c>
      <c r="H27" s="229">
        <f>(C27*90%)+(BIODIESEL!G$8)</f>
        <v>5062.235181</v>
      </c>
      <c r="I27" s="405" t="s">
        <v>376</v>
      </c>
    </row>
    <row r="28" spans="1:14" x14ac:dyDescent="0.25">
      <c r="A28" s="209" t="s">
        <v>110</v>
      </c>
      <c r="B28" s="444">
        <f t="shared" si="0"/>
        <v>4055.21</v>
      </c>
      <c r="C28" s="209">
        <f t="shared" si="0"/>
        <v>4276.1000000000004</v>
      </c>
      <c r="D28" s="209">
        <f t="shared" si="1"/>
        <v>4190.5780000000004</v>
      </c>
      <c r="E28" s="209">
        <f t="shared" si="2"/>
        <v>283.61939999999998</v>
      </c>
      <c r="F28" s="444">
        <f t="shared" ref="F28:F38" si="3">+D28+E28</f>
        <v>4474.1974</v>
      </c>
      <c r="G28" s="229">
        <f>(B28*90%)+('GAS CTE'!D$8)</f>
        <v>4474.7190000000001</v>
      </c>
      <c r="H28" s="229">
        <f>(C28*90%)+(BIODIESEL!G$8)</f>
        <v>5266.59</v>
      </c>
      <c r="I28" s="405" t="s">
        <v>429</v>
      </c>
    </row>
    <row r="29" spans="1:14" x14ac:dyDescent="0.25">
      <c r="A29" s="209" t="s">
        <v>115</v>
      </c>
      <c r="B29" s="444">
        <f t="shared" si="0"/>
        <v>4006.141959</v>
      </c>
      <c r="C29" s="209">
        <f t="shared" si="0"/>
        <v>3928.0254600000003</v>
      </c>
      <c r="D29" s="209">
        <f t="shared" si="1"/>
        <v>3849.4649508000002</v>
      </c>
      <c r="E29" s="209">
        <f t="shared" si="2"/>
        <v>283.61939999999998</v>
      </c>
      <c r="F29" s="444">
        <f t="shared" si="3"/>
        <v>4133.0843507999998</v>
      </c>
      <c r="G29" s="229">
        <f>(B29*90%)+('GAS CTE'!D$8)</f>
        <v>4430.5577630999996</v>
      </c>
      <c r="H29" s="229">
        <f>(C29*90%)+(BIODIESEL!G$8)</f>
        <v>4953.3229140000003</v>
      </c>
      <c r="I29" s="405" t="s">
        <v>447</v>
      </c>
    </row>
    <row r="30" spans="1:14" x14ac:dyDescent="0.25">
      <c r="A30" s="209" t="s">
        <v>123</v>
      </c>
      <c r="B30" s="444">
        <f t="shared" si="0"/>
        <v>4055.21</v>
      </c>
      <c r="C30" s="209">
        <f t="shared" si="0"/>
        <v>4276.1000000000004</v>
      </c>
      <c r="D30" s="209">
        <f t="shared" si="1"/>
        <v>4190.5780000000004</v>
      </c>
      <c r="E30" s="209">
        <f t="shared" si="2"/>
        <v>283.61939999999998</v>
      </c>
      <c r="F30" s="444">
        <f t="shared" si="3"/>
        <v>4474.1974</v>
      </c>
      <c r="G30" s="229">
        <f>(B30*90%)+('GAS CTE'!D$8)</f>
        <v>4474.7190000000001</v>
      </c>
      <c r="H30" s="229">
        <f>(C30*90%)+(BIODIESEL!G$8)</f>
        <v>5266.59</v>
      </c>
      <c r="I30" s="405" t="s">
        <v>377</v>
      </c>
      <c r="J30" s="489" t="s">
        <v>426</v>
      </c>
    </row>
    <row r="31" spans="1:14" x14ac:dyDescent="0.25">
      <c r="A31" s="209" t="s">
        <v>118</v>
      </c>
      <c r="B31" s="444">
        <f t="shared" si="0"/>
        <v>4055.21</v>
      </c>
      <c r="C31" s="209">
        <f t="shared" si="0"/>
        <v>4171.3355500000007</v>
      </c>
      <c r="D31" s="209">
        <f t="shared" si="1"/>
        <v>4087.9088390000006</v>
      </c>
      <c r="E31" s="209">
        <f t="shared" si="2"/>
        <v>283.61939999999998</v>
      </c>
      <c r="F31" s="444">
        <f>+D31+E31</f>
        <v>4371.5282390000002</v>
      </c>
      <c r="G31" s="229">
        <f>(B31*90%)+('GAS CTE'!D$8)</f>
        <v>4474.7190000000001</v>
      </c>
      <c r="H31" s="229">
        <f>(C31*90%)+(BIODIESEL!G$8)</f>
        <v>5172.3019950000007</v>
      </c>
      <c r="I31" s="405" t="s">
        <v>378</v>
      </c>
    </row>
    <row r="32" spans="1:14" x14ac:dyDescent="0.25">
      <c r="A32" s="209" t="s">
        <v>113</v>
      </c>
      <c r="B32" s="444">
        <f t="shared" si="0"/>
        <v>3897.05681</v>
      </c>
      <c r="C32" s="209">
        <f t="shared" si="0"/>
        <v>4128.5745500000003</v>
      </c>
      <c r="D32" s="209">
        <f t="shared" si="1"/>
        <v>4046.0030590000001</v>
      </c>
      <c r="E32" s="209">
        <f t="shared" si="2"/>
        <v>283.61939999999998</v>
      </c>
      <c r="F32" s="444">
        <f t="shared" si="3"/>
        <v>4329.6224590000002</v>
      </c>
      <c r="G32" s="229">
        <f>(B32*90%)+('GAS CTE'!D$8)</f>
        <v>4332.3811290000003</v>
      </c>
      <c r="H32" s="229">
        <f>(C32*90%)+(BIODIESEL!G$8)</f>
        <v>5133.8170950000003</v>
      </c>
      <c r="I32" s="405" t="s">
        <v>422</v>
      </c>
      <c r="J32" s="489" t="s">
        <v>426</v>
      </c>
    </row>
    <row r="33" spans="1:14" x14ac:dyDescent="0.25">
      <c r="A33" s="209" t="s">
        <v>112</v>
      </c>
      <c r="B33" s="444">
        <f t="shared" si="0"/>
        <v>4055.21</v>
      </c>
      <c r="C33" s="209">
        <f>+C$21*C12</f>
        <v>4160.2176900000004</v>
      </c>
      <c r="D33" s="209">
        <f t="shared" si="1"/>
        <v>4077.0133362000001</v>
      </c>
      <c r="E33" s="209">
        <f t="shared" si="2"/>
        <v>283.61939999999998</v>
      </c>
      <c r="F33" s="444">
        <f t="shared" si="3"/>
        <v>4360.6327362000002</v>
      </c>
      <c r="G33" s="229">
        <f>(B33*90%)+('GAS CTE'!D$8)</f>
        <v>4474.7190000000001</v>
      </c>
      <c r="H33" s="229">
        <f>(C33*90%)+(BIODIESEL!G$8)</f>
        <v>5162.2959210000008</v>
      </c>
      <c r="I33" s="405" t="s">
        <v>379</v>
      </c>
    </row>
    <row r="34" spans="1:14" x14ac:dyDescent="0.25">
      <c r="A34" s="209" t="s">
        <v>111</v>
      </c>
      <c r="B34" s="444">
        <f t="shared" si="0"/>
        <v>4005.7364379999999</v>
      </c>
      <c r="C34" s="209">
        <f t="shared" si="0"/>
        <v>4226.06963</v>
      </c>
      <c r="D34" s="209">
        <f t="shared" si="1"/>
        <v>4141.5482374000003</v>
      </c>
      <c r="E34" s="209">
        <f t="shared" si="2"/>
        <v>283.61939999999998</v>
      </c>
      <c r="F34" s="444">
        <f t="shared" si="3"/>
        <v>4425.1676373999999</v>
      </c>
      <c r="G34" s="229">
        <f>(B34*90%)+('GAS CTE'!D$8)</f>
        <v>4430.1927942000002</v>
      </c>
      <c r="H34" s="229">
        <f>(C34*90%)+(BIODIESEL!G$8)</f>
        <v>5221.5626670000001</v>
      </c>
      <c r="I34" s="405" t="s">
        <v>380</v>
      </c>
    </row>
    <row r="35" spans="1:14" x14ac:dyDescent="0.25">
      <c r="A35" s="209" t="s">
        <v>352</v>
      </c>
      <c r="B35" s="444">
        <f t="shared" si="0"/>
        <v>4055.21</v>
      </c>
      <c r="C35" s="209">
        <f t="shared" si="0"/>
        <v>4164.4937900000004</v>
      </c>
      <c r="D35" s="209">
        <f t="shared" si="1"/>
        <v>4081.2039142000003</v>
      </c>
      <c r="E35" s="209">
        <f t="shared" si="2"/>
        <v>283.61939999999998</v>
      </c>
      <c r="F35" s="444">
        <f t="shared" si="3"/>
        <v>4364.8233141999999</v>
      </c>
      <c r="G35" s="229">
        <f>(B35*90%)+('GAS CTE'!D$8)</f>
        <v>4474.7190000000001</v>
      </c>
      <c r="H35" s="229">
        <f>(C35*90%)+(BIODIESEL!G$8)</f>
        <v>5166.1444110000002</v>
      </c>
      <c r="I35" s="405" t="s">
        <v>381</v>
      </c>
    </row>
    <row r="36" spans="1:14" x14ac:dyDescent="0.25">
      <c r="A36" s="209" t="s">
        <v>119</v>
      </c>
      <c r="B36" s="444">
        <f t="shared" si="0"/>
        <v>4055.21</v>
      </c>
      <c r="C36" s="209">
        <f t="shared" si="0"/>
        <v>4276.1000000000004</v>
      </c>
      <c r="D36" s="209">
        <f t="shared" si="1"/>
        <v>4190.5780000000004</v>
      </c>
      <c r="E36" s="209">
        <f t="shared" si="2"/>
        <v>283.61939999999998</v>
      </c>
      <c r="F36" s="444">
        <f t="shared" si="3"/>
        <v>4474.1974</v>
      </c>
      <c r="G36" s="229">
        <f>(B36*90%)+('GAS CTE'!D$8)</f>
        <v>4474.7190000000001</v>
      </c>
      <c r="H36" s="229">
        <f>(C36*90%)+(BIODIESEL!G$8)</f>
        <v>5266.59</v>
      </c>
      <c r="I36" s="405" t="s">
        <v>383</v>
      </c>
    </row>
    <row r="37" spans="1:14" ht="15.75" customHeight="1" x14ac:dyDescent="0.25">
      <c r="A37" s="209" t="s">
        <v>432</v>
      </c>
      <c r="B37" s="444">
        <f t="shared" si="0"/>
        <v>3897.05681</v>
      </c>
      <c r="C37" s="209">
        <f t="shared" si="0"/>
        <v>3810.0051000000003</v>
      </c>
      <c r="D37" s="209">
        <f t="shared" si="1"/>
        <v>3733.8049980000001</v>
      </c>
      <c r="E37" s="209">
        <f t="shared" si="2"/>
        <v>283.61939999999998</v>
      </c>
      <c r="F37" s="444">
        <f t="shared" si="3"/>
        <v>4017.4243980000001</v>
      </c>
      <c r="G37" s="229">
        <f>(B37*90%)+('GAS CTE'!D$8)</f>
        <v>4332.3811290000003</v>
      </c>
      <c r="H37" s="229">
        <f>(C37*90%)+(BIODIESEL!G$8)</f>
        <v>4847.1045900000008</v>
      </c>
      <c r="I37" s="405" t="s">
        <v>446</v>
      </c>
      <c r="N37" t="s">
        <v>174</v>
      </c>
    </row>
    <row r="38" spans="1:14" ht="15.75" customHeight="1" x14ac:dyDescent="0.25">
      <c r="A38" s="209" t="s">
        <v>431</v>
      </c>
      <c r="B38" s="444">
        <f t="shared" si="0"/>
        <v>4055.21</v>
      </c>
      <c r="C38" s="209">
        <f t="shared" si="0"/>
        <v>4276.1000000000004</v>
      </c>
      <c r="D38" s="209">
        <f t="shared" si="1"/>
        <v>4190.5780000000004</v>
      </c>
      <c r="E38" s="209">
        <f t="shared" si="2"/>
        <v>283.61939999999998</v>
      </c>
      <c r="F38" s="444">
        <f t="shared" si="3"/>
        <v>4474.1974</v>
      </c>
      <c r="G38" s="229">
        <f>(B38*90%)+('GAS CTE'!D$8)</f>
        <v>4474.7190000000001</v>
      </c>
      <c r="H38" s="229">
        <f>(C38*90%)+(BIODIESEL!G$8)</f>
        <v>5266.59</v>
      </c>
      <c r="I38" s="405" t="s">
        <v>382</v>
      </c>
    </row>
    <row r="40" spans="1:14" x14ac:dyDescent="0.25">
      <c r="A40" s="393" t="s">
        <v>418</v>
      </c>
      <c r="B40" s="394" t="s">
        <v>464</v>
      </c>
      <c r="C40" s="452" t="s">
        <v>471</v>
      </c>
      <c r="D40" s="465" t="s">
        <v>455</v>
      </c>
      <c r="E40" s="466"/>
      <c r="F40" s="20"/>
      <c r="G40" s="20"/>
      <c r="H40" s="20"/>
      <c r="I40" s="20"/>
    </row>
    <row r="41" spans="1:14" x14ac:dyDescent="0.25">
      <c r="E41" s="466" t="s">
        <v>470</v>
      </c>
      <c r="F41" s="20"/>
      <c r="G41" s="20"/>
      <c r="H41" s="20"/>
      <c r="I41" s="20"/>
    </row>
    <row r="42" spans="1:14" x14ac:dyDescent="0.25">
      <c r="A42" s="407" t="s">
        <v>415</v>
      </c>
      <c r="B42" s="407" t="s">
        <v>413</v>
      </c>
      <c r="C42" s="407" t="s">
        <v>414</v>
      </c>
      <c r="D42" t="s">
        <v>174</v>
      </c>
      <c r="E42" s="467"/>
      <c r="F42" s="20"/>
      <c r="G42" s="20"/>
      <c r="H42" s="20"/>
      <c r="I42" s="20"/>
    </row>
    <row r="43" spans="1:14" x14ac:dyDescent="0.25">
      <c r="A43" s="391" t="s">
        <v>416</v>
      </c>
      <c r="B43" s="392">
        <v>30000002129</v>
      </c>
      <c r="C43" s="22"/>
      <c r="E43" s="466"/>
      <c r="F43" s="20"/>
      <c r="G43" s="20"/>
      <c r="H43" s="20"/>
      <c r="I43" s="20"/>
    </row>
    <row r="44" spans="1:14" x14ac:dyDescent="0.25">
      <c r="A44" s="391" t="s">
        <v>417</v>
      </c>
      <c r="B44" s="392">
        <v>30000000070</v>
      </c>
      <c r="C44" s="392">
        <v>30000000070</v>
      </c>
    </row>
    <row r="45" spans="1:14" x14ac:dyDescent="0.25">
      <c r="A45" s="391" t="s">
        <v>430</v>
      </c>
      <c r="B45" s="397">
        <v>30000009250</v>
      </c>
      <c r="C45" s="392"/>
      <c r="E45" t="s">
        <v>174</v>
      </c>
    </row>
    <row r="46" spans="1:14" x14ac:dyDescent="0.25">
      <c r="A46" s="391" t="s">
        <v>108</v>
      </c>
      <c r="B46" s="392" t="s">
        <v>174</v>
      </c>
      <c r="C46" s="392">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r:id="rId5">
            <anchor moveWithCells="1" sizeWithCells="1">
              <from>
                <xdr:col>4</xdr:col>
                <xdr:colOff>752475</xdr:colOff>
                <xdr:row>0</xdr:row>
                <xdr:rowOff>76200</xdr:rowOff>
              </from>
              <to>
                <xdr:col>6</xdr:col>
                <xdr:colOff>200025</xdr:colOff>
                <xdr:row>3</xdr:row>
                <xdr:rowOff>133350</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J44"/>
  <sheetViews>
    <sheetView zoomScale="85" zoomScaleNormal="85" workbookViewId="0">
      <selection activeCell="E37" sqref="E37"/>
    </sheetView>
  </sheetViews>
  <sheetFormatPr baseColWidth="10" defaultRowHeight="14.25" outlineLevelCol="1" x14ac:dyDescent="0.25"/>
  <cols>
    <col min="1" max="1" width="59.85546875" style="94" customWidth="1"/>
    <col min="2" max="2" width="18.85546875" style="94" customWidth="1" outlineLevel="1"/>
    <col min="3" max="4" width="18.85546875" style="94" customWidth="1"/>
    <col min="5" max="5" width="18.85546875" style="94" customWidth="1" outlineLevel="1"/>
    <col min="6" max="6" width="19.42578125" style="94" customWidth="1"/>
    <col min="7" max="10" width="11.42578125" style="51"/>
    <col min="11" max="11" width="15.7109375" style="51" customWidth="1"/>
    <col min="12" max="16384" width="11.42578125" style="51"/>
  </cols>
  <sheetData>
    <row r="1" spans="1:10" ht="15.75" thickBot="1" x14ac:dyDescent="0.3">
      <c r="A1" s="46">
        <v>2020</v>
      </c>
      <c r="B1" s="47"/>
      <c r="C1" s="47">
        <v>7.2405999999999997</v>
      </c>
      <c r="D1" s="48"/>
      <c r="E1" s="49"/>
      <c r="F1" s="50"/>
    </row>
    <row r="2" spans="1:10" s="52" customFormat="1" ht="21.75" customHeight="1" thickTop="1" x14ac:dyDescent="0.25">
      <c r="A2" s="518" t="str">
        <f>CONCATENATE("ESTRUCTURAS DE PRECIOS DE COMBUSTIBLES LIQUIDOS VIGENTES A PARTIR DE ",$A$1)</f>
        <v>ESTRUCTURAS DE PRECIOS DE COMBUSTIBLES LIQUIDOS VIGENTES A PARTIR DE 2020</v>
      </c>
      <c r="B2" s="519"/>
      <c r="C2" s="519"/>
      <c r="D2" s="519"/>
      <c r="E2" s="519"/>
      <c r="F2" s="520"/>
    </row>
    <row r="3" spans="1:10" s="52" customFormat="1" ht="21.75" customHeight="1" x14ac:dyDescent="0.25">
      <c r="A3" s="53" t="s">
        <v>124</v>
      </c>
      <c r="B3" s="54"/>
      <c r="C3" s="54"/>
      <c r="D3" s="54"/>
      <c r="E3" s="54"/>
      <c r="F3" s="55"/>
    </row>
    <row r="4" spans="1:10" s="57" customFormat="1" ht="24" customHeight="1" x14ac:dyDescent="0.25">
      <c r="A4" s="521" t="s">
        <v>125</v>
      </c>
      <c r="B4" s="523" t="s">
        <v>97</v>
      </c>
      <c r="C4" s="525" t="s">
        <v>126</v>
      </c>
      <c r="D4" s="526"/>
      <c r="E4" s="523" t="s">
        <v>127</v>
      </c>
      <c r="F4" s="56" t="s">
        <v>128</v>
      </c>
    </row>
    <row r="5" spans="1:10" s="57" customFormat="1" ht="24" customHeight="1" x14ac:dyDescent="0.25">
      <c r="A5" s="521"/>
      <c r="B5" s="524"/>
      <c r="C5" s="58" t="s">
        <v>129</v>
      </c>
      <c r="D5" s="58" t="s">
        <v>130</v>
      </c>
      <c r="E5" s="524"/>
      <c r="F5" s="59" t="s">
        <v>131</v>
      </c>
    </row>
    <row r="6" spans="1:10" s="57" customFormat="1" ht="24" customHeight="1" thickBot="1" x14ac:dyDescent="0.3">
      <c r="A6" s="522"/>
      <c r="B6" s="60" t="s">
        <v>469</v>
      </c>
      <c r="C6" s="61" t="s">
        <v>469</v>
      </c>
      <c r="D6" s="60" t="s">
        <v>469</v>
      </c>
      <c r="E6" s="60" t="s">
        <v>469</v>
      </c>
      <c r="F6" s="62" t="s">
        <v>469</v>
      </c>
      <c r="G6" s="57" t="s">
        <v>469</v>
      </c>
      <c r="H6" s="57" t="s">
        <v>469</v>
      </c>
      <c r="I6" s="57" t="s">
        <v>469</v>
      </c>
    </row>
    <row r="7" spans="1:10" ht="22.5" customHeight="1" thickTop="1" x14ac:dyDescent="0.25">
      <c r="A7" s="63" t="s">
        <v>132</v>
      </c>
      <c r="B7" s="485">
        <v>4055.21</v>
      </c>
      <c r="C7" s="64">
        <v>5700</v>
      </c>
      <c r="D7" s="65">
        <v>5700</v>
      </c>
      <c r="E7" s="485">
        <v>4276.1000000000004</v>
      </c>
      <c r="F7" s="494">
        <v>7430</v>
      </c>
      <c r="G7" s="66">
        <v>7612.66</v>
      </c>
      <c r="H7" s="51">
        <v>8757.4500000000007</v>
      </c>
      <c r="I7" s="51">
        <v>8933.6299999999992</v>
      </c>
      <c r="J7" s="456" t="s">
        <v>457</v>
      </c>
    </row>
    <row r="8" spans="1:10" ht="22.5" customHeight="1" x14ac:dyDescent="0.25">
      <c r="A8" s="67" t="s">
        <v>133</v>
      </c>
      <c r="B8" s="68">
        <v>8.1370000000000005</v>
      </c>
      <c r="C8" s="69">
        <v>8.1370000000000005</v>
      </c>
      <c r="D8" s="69">
        <v>8.1370000000000005</v>
      </c>
      <c r="E8" s="69">
        <v>8.1370000000000005</v>
      </c>
      <c r="F8" s="70"/>
    </row>
    <row r="9" spans="1:10" ht="22.5" customHeight="1" x14ac:dyDescent="0.25">
      <c r="A9" s="67" t="s">
        <v>134</v>
      </c>
      <c r="B9" s="71" t="s">
        <v>135</v>
      </c>
      <c r="C9" s="71" t="s">
        <v>135</v>
      </c>
      <c r="D9" s="71" t="s">
        <v>135</v>
      </c>
      <c r="E9" s="71" t="s">
        <v>135</v>
      </c>
      <c r="F9" s="72" t="s">
        <v>135</v>
      </c>
      <c r="G9" s="51" t="s">
        <v>135</v>
      </c>
      <c r="H9" s="51" t="s">
        <v>135</v>
      </c>
      <c r="I9" s="51" t="s">
        <v>135</v>
      </c>
    </row>
    <row r="10" spans="1:10" ht="22.5" customHeight="1" x14ac:dyDescent="0.25">
      <c r="A10" s="67" t="s">
        <v>136</v>
      </c>
      <c r="B10" s="73">
        <v>71.510000000000005</v>
      </c>
      <c r="C10" s="73">
        <v>71.510000000000005</v>
      </c>
      <c r="D10" s="73">
        <v>71.510000000000005</v>
      </c>
      <c r="E10" s="73">
        <v>71.510000000000005</v>
      </c>
      <c r="F10" s="74"/>
    </row>
    <row r="11" spans="1:10" ht="22.5" customHeight="1" x14ac:dyDescent="0.25">
      <c r="A11" s="67" t="s">
        <v>137</v>
      </c>
      <c r="B11" s="75">
        <v>546.26</v>
      </c>
      <c r="C11" s="73">
        <v>1036.78</v>
      </c>
      <c r="D11" s="73">
        <v>1036.78</v>
      </c>
      <c r="E11" s="73">
        <v>522.85</v>
      </c>
      <c r="F11" s="76"/>
      <c r="H11" s="77"/>
      <c r="I11" s="77"/>
    </row>
    <row r="12" spans="1:10" ht="22.5" customHeight="1" x14ac:dyDescent="0.25">
      <c r="A12" s="67" t="s">
        <v>138</v>
      </c>
      <c r="B12" s="78" t="s">
        <v>139</v>
      </c>
      <c r="C12" s="78" t="s">
        <v>139</v>
      </c>
      <c r="D12" s="78" t="s">
        <v>139</v>
      </c>
      <c r="E12" s="78" t="s">
        <v>139</v>
      </c>
      <c r="F12" s="79" t="s">
        <v>139</v>
      </c>
      <c r="G12" s="51" t="s">
        <v>139</v>
      </c>
      <c r="H12" s="51" t="s">
        <v>139</v>
      </c>
      <c r="I12" s="51" t="s">
        <v>139</v>
      </c>
    </row>
    <row r="13" spans="1:10" ht="22.5" customHeight="1" x14ac:dyDescent="0.25">
      <c r="A13" s="67" t="s">
        <v>140</v>
      </c>
      <c r="B13" s="75">
        <v>155</v>
      </c>
      <c r="C13" s="73">
        <v>155</v>
      </c>
      <c r="D13" s="73">
        <v>155</v>
      </c>
      <c r="E13" s="73">
        <v>174</v>
      </c>
      <c r="F13" s="76"/>
    </row>
    <row r="14" spans="1:10" ht="22.5" customHeight="1" x14ac:dyDescent="0.25">
      <c r="A14" s="67" t="s">
        <v>141</v>
      </c>
      <c r="B14" s="71" t="s">
        <v>142</v>
      </c>
      <c r="C14" s="71" t="s">
        <v>142</v>
      </c>
      <c r="D14" s="71" t="s">
        <v>142</v>
      </c>
      <c r="E14" s="71" t="s">
        <v>142</v>
      </c>
      <c r="F14" s="72"/>
    </row>
    <row r="15" spans="1:10" ht="22.5" customHeight="1" x14ac:dyDescent="0.25">
      <c r="A15" s="67" t="s">
        <v>143</v>
      </c>
      <c r="B15" s="71" t="s">
        <v>144</v>
      </c>
      <c r="C15" s="71"/>
      <c r="D15" s="71"/>
      <c r="E15" s="71" t="s">
        <v>144</v>
      </c>
      <c r="F15" s="80"/>
    </row>
    <row r="16" spans="1:10" ht="22.5" customHeight="1" x14ac:dyDescent="0.25">
      <c r="A16" s="67" t="s">
        <v>145</v>
      </c>
      <c r="B16" s="73">
        <v>1269.69</v>
      </c>
      <c r="C16" s="73">
        <v>1776.95</v>
      </c>
      <c r="D16" s="73">
        <v>1776.95</v>
      </c>
      <c r="E16" s="73">
        <v>301.48</v>
      </c>
      <c r="F16" s="81" t="s">
        <v>146</v>
      </c>
      <c r="G16" s="51" t="s">
        <v>146</v>
      </c>
    </row>
    <row r="17" spans="1:7" ht="22.5" customHeight="1" x14ac:dyDescent="0.25">
      <c r="A17" s="67" t="s">
        <v>147</v>
      </c>
      <c r="B17" s="71" t="s">
        <v>142</v>
      </c>
      <c r="C17" s="71" t="s">
        <v>142</v>
      </c>
      <c r="D17" s="71" t="s">
        <v>142</v>
      </c>
      <c r="E17" s="71" t="s">
        <v>142</v>
      </c>
      <c r="F17" s="81" t="s">
        <v>146</v>
      </c>
      <c r="G17" s="51" t="s">
        <v>146</v>
      </c>
    </row>
    <row r="18" spans="1:7" ht="22.5" customHeight="1" x14ac:dyDescent="0.25">
      <c r="A18" s="67" t="s">
        <v>148</v>
      </c>
      <c r="B18" s="71" t="s">
        <v>144</v>
      </c>
      <c r="C18" s="71"/>
      <c r="D18" s="71"/>
      <c r="E18" s="71" t="s">
        <v>144</v>
      </c>
      <c r="F18" s="81" t="s">
        <v>146</v>
      </c>
      <c r="G18" s="51" t="s">
        <v>146</v>
      </c>
    </row>
    <row r="19" spans="1:7" ht="22.5" customHeight="1" x14ac:dyDescent="0.25">
      <c r="A19" s="67" t="s">
        <v>149</v>
      </c>
      <c r="B19" s="71" t="s">
        <v>150</v>
      </c>
      <c r="C19" s="71"/>
      <c r="D19" s="71"/>
      <c r="E19" s="71"/>
      <c r="F19" s="82" t="s">
        <v>146</v>
      </c>
      <c r="G19" s="51" t="s">
        <v>146</v>
      </c>
    </row>
    <row r="20" spans="1:7" ht="22.5" customHeight="1" x14ac:dyDescent="0.25">
      <c r="A20" s="67" t="s">
        <v>151</v>
      </c>
      <c r="B20" s="71" t="s">
        <v>144</v>
      </c>
      <c r="C20" s="73"/>
      <c r="D20" s="73"/>
      <c r="E20" s="71" t="s">
        <v>144</v>
      </c>
      <c r="F20" s="81" t="s">
        <v>146</v>
      </c>
      <c r="G20" s="51" t="s">
        <v>146</v>
      </c>
    </row>
    <row r="21" spans="1:7" ht="22.5" customHeight="1" thickBot="1" x14ac:dyDescent="0.3">
      <c r="A21" s="83" t="s">
        <v>152</v>
      </c>
      <c r="B21" s="84" t="s">
        <v>142</v>
      </c>
      <c r="C21" s="84" t="s">
        <v>142</v>
      </c>
      <c r="D21" s="84" t="s">
        <v>142</v>
      </c>
      <c r="E21" s="84" t="s">
        <v>142</v>
      </c>
      <c r="F21" s="85" t="s">
        <v>146</v>
      </c>
      <c r="G21" s="51" t="s">
        <v>146</v>
      </c>
    </row>
    <row r="22" spans="1:7" ht="21.75" customHeight="1" thickTop="1" x14ac:dyDescent="0.25">
      <c r="A22" s="516"/>
      <c r="B22" s="517"/>
      <c r="C22" s="517"/>
      <c r="D22" s="517"/>
      <c r="E22" s="517"/>
      <c r="F22" s="517"/>
    </row>
    <row r="23" spans="1:7" s="86" customFormat="1" ht="30" customHeight="1" x14ac:dyDescent="0.25">
      <c r="A23" s="528" t="s">
        <v>153</v>
      </c>
      <c r="B23" s="528"/>
      <c r="C23" s="528"/>
      <c r="D23" s="528"/>
      <c r="E23" s="528"/>
      <c r="F23" s="528"/>
    </row>
    <row r="24" spans="1:7" s="86" customFormat="1" ht="11.25" customHeight="1" x14ac:dyDescent="0.25">
      <c r="A24" s="87"/>
      <c r="B24" s="87"/>
      <c r="C24" s="87"/>
      <c r="D24" s="87"/>
      <c r="E24" s="87"/>
      <c r="F24" s="87"/>
    </row>
    <row r="25" spans="1:7" s="86" customFormat="1" ht="31.5" customHeight="1" x14ac:dyDescent="0.25">
      <c r="A25" s="528" t="s">
        <v>154</v>
      </c>
      <c r="B25" s="528"/>
      <c r="C25" s="528"/>
      <c r="D25" s="528"/>
      <c r="E25" s="528"/>
      <c r="F25" s="528"/>
    </row>
    <row r="26" spans="1:7" s="86" customFormat="1" ht="7.5" customHeight="1" x14ac:dyDescent="0.25">
      <c r="A26" s="88"/>
      <c r="B26" s="89"/>
      <c r="C26" s="89"/>
      <c r="D26" s="89"/>
      <c r="E26" s="89"/>
      <c r="F26" s="89"/>
    </row>
    <row r="27" spans="1:7" ht="43.5" customHeight="1" x14ac:dyDescent="0.25">
      <c r="A27" s="529" t="s">
        <v>155</v>
      </c>
      <c r="B27" s="529"/>
      <c r="C27" s="529"/>
      <c r="D27" s="529"/>
      <c r="E27" s="529"/>
      <c r="F27" s="529"/>
    </row>
    <row r="28" spans="1:7" s="91" customFormat="1" ht="8.25" customHeight="1" x14ac:dyDescent="0.25">
      <c r="A28" s="90"/>
      <c r="B28" s="90"/>
      <c r="C28" s="90"/>
      <c r="D28" s="90"/>
      <c r="E28" s="90"/>
      <c r="F28" s="90"/>
    </row>
    <row r="29" spans="1:7" ht="18" customHeight="1" x14ac:dyDescent="0.25">
      <c r="A29" s="528" t="s">
        <v>156</v>
      </c>
      <c r="B29" s="528"/>
      <c r="C29" s="528"/>
      <c r="D29" s="528"/>
      <c r="E29" s="528"/>
      <c r="F29" s="528"/>
    </row>
    <row r="30" spans="1:7" ht="7.5" customHeight="1" x14ac:dyDescent="0.25">
      <c r="A30" s="516"/>
      <c r="B30" s="517"/>
      <c r="C30" s="517"/>
      <c r="D30" s="517"/>
      <c r="E30" s="517"/>
      <c r="F30" s="517"/>
    </row>
    <row r="31" spans="1:7" ht="29.25" customHeight="1" x14ac:dyDescent="0.25">
      <c r="A31" s="528" t="s">
        <v>157</v>
      </c>
      <c r="B31" s="528"/>
      <c r="C31" s="528"/>
      <c r="D31" s="528"/>
      <c r="E31" s="528"/>
      <c r="F31" s="528"/>
    </row>
    <row r="32" spans="1:7" s="92" customFormat="1" ht="18" customHeight="1" x14ac:dyDescent="0.25">
      <c r="A32" s="528" t="s">
        <v>158</v>
      </c>
      <c r="B32" s="528"/>
      <c r="C32" s="528"/>
      <c r="D32" s="528"/>
      <c r="E32" s="528"/>
      <c r="F32" s="528"/>
    </row>
    <row r="33" spans="1:6" s="92" customFormat="1" x14ac:dyDescent="0.25">
      <c r="A33" s="528" t="s">
        <v>159</v>
      </c>
      <c r="B33" s="528"/>
      <c r="C33" s="528"/>
      <c r="D33" s="528"/>
      <c r="E33" s="528"/>
      <c r="F33" s="528"/>
    </row>
    <row r="34" spans="1:6" s="92" customFormat="1" x14ac:dyDescent="0.25">
      <c r="A34" s="87"/>
      <c r="B34" s="87"/>
      <c r="C34" s="87"/>
      <c r="D34" s="87"/>
      <c r="E34" s="87"/>
      <c r="F34" s="87"/>
    </row>
    <row r="35" spans="1:6" s="92" customFormat="1" x14ac:dyDescent="0.25">
      <c r="A35" s="528" t="s">
        <v>160</v>
      </c>
      <c r="B35" s="528"/>
      <c r="C35" s="528"/>
      <c r="D35" s="528"/>
      <c r="E35" s="528"/>
      <c r="F35" s="528"/>
    </row>
    <row r="36" spans="1:6" s="92" customFormat="1" ht="14.25" customHeight="1" x14ac:dyDescent="0.25">
      <c r="A36" s="528" t="s">
        <v>161</v>
      </c>
      <c r="B36" s="528"/>
      <c r="C36" s="528"/>
      <c r="D36" s="528"/>
      <c r="E36" s="528"/>
      <c r="F36" s="528"/>
    </row>
    <row r="37" spans="1:6" s="92" customFormat="1" x14ac:dyDescent="0.25">
      <c r="A37" s="528" t="s">
        <v>162</v>
      </c>
      <c r="B37" s="528"/>
      <c r="C37" s="528"/>
      <c r="D37" s="528"/>
      <c r="E37" s="528"/>
      <c r="F37" s="528"/>
    </row>
    <row r="38" spans="1:6" s="92" customFormat="1" ht="90" customHeight="1" x14ac:dyDescent="0.25">
      <c r="A38" s="527" t="s">
        <v>163</v>
      </c>
      <c r="B38" s="527"/>
      <c r="C38" s="527"/>
      <c r="D38" s="527"/>
      <c r="E38" s="527"/>
      <c r="F38" s="93"/>
    </row>
    <row r="39" spans="1:6" s="92" customFormat="1" x14ac:dyDescent="0.25">
      <c r="A39" s="93"/>
      <c r="B39" s="93"/>
      <c r="C39" s="93"/>
      <c r="D39" s="93"/>
      <c r="E39" s="93"/>
      <c r="F39" s="93"/>
    </row>
    <row r="40" spans="1:6" s="92" customFormat="1" x14ac:dyDescent="0.25">
      <c r="A40" s="93"/>
      <c r="B40" s="93"/>
      <c r="C40" s="93"/>
      <c r="D40" s="93"/>
      <c r="E40" s="93"/>
      <c r="F40" s="93"/>
    </row>
    <row r="41" spans="1:6" s="92" customFormat="1" x14ac:dyDescent="0.25">
      <c r="A41" s="93"/>
      <c r="B41" s="93"/>
      <c r="C41" s="93"/>
      <c r="D41" s="93"/>
      <c r="E41" s="93"/>
      <c r="F41" s="93"/>
    </row>
    <row r="42" spans="1:6" s="92" customFormat="1" x14ac:dyDescent="0.25">
      <c r="A42" s="93"/>
      <c r="B42" s="93"/>
      <c r="C42" s="93"/>
      <c r="D42" s="93"/>
      <c r="E42" s="93"/>
      <c r="F42" s="93"/>
    </row>
    <row r="43" spans="1:6" s="92" customFormat="1" x14ac:dyDescent="0.25">
      <c r="A43" s="93"/>
      <c r="B43" s="93"/>
      <c r="C43" s="93"/>
      <c r="D43" s="93"/>
      <c r="E43" s="93"/>
      <c r="F43" s="93"/>
    </row>
    <row r="44" spans="1:6" s="92" customFormat="1" x14ac:dyDescent="0.25">
      <c r="A44" s="94"/>
      <c r="B44" s="94"/>
      <c r="C44" s="94"/>
      <c r="D44" s="94"/>
      <c r="E44" s="94"/>
      <c r="F44" s="94"/>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5" zoomScaleNormal="85" workbookViewId="0">
      <selection activeCell="E37" sqref="E37"/>
    </sheetView>
  </sheetViews>
  <sheetFormatPr baseColWidth="10" defaultColWidth="54.28515625" defaultRowHeight="15" x14ac:dyDescent="0.25"/>
  <cols>
    <col min="2" max="2" width="19.140625" customWidth="1"/>
    <col min="3" max="3" width="17.85546875" customWidth="1"/>
    <col min="4" max="4" width="15.85546875" customWidth="1"/>
  </cols>
  <sheetData>
    <row r="1" spans="1:6" ht="33.75" customHeight="1" x14ac:dyDescent="0.25">
      <c r="A1" s="533" t="s">
        <v>465</v>
      </c>
      <c r="B1" s="534"/>
      <c r="C1" s="534"/>
      <c r="D1" s="534"/>
      <c r="E1" s="95"/>
    </row>
    <row r="2" spans="1:6" ht="18" x14ac:dyDescent="0.25">
      <c r="A2" s="535" t="s">
        <v>124</v>
      </c>
      <c r="B2" s="536"/>
      <c r="C2" s="536"/>
      <c r="D2" s="536"/>
      <c r="E2" s="95"/>
    </row>
    <row r="3" spans="1:6" ht="45" x14ac:dyDescent="0.25">
      <c r="A3" s="537" t="s">
        <v>125</v>
      </c>
      <c r="B3" s="538" t="s">
        <v>164</v>
      </c>
      <c r="C3" s="538" t="s">
        <v>165</v>
      </c>
      <c r="D3" s="96" t="s">
        <v>166</v>
      </c>
      <c r="E3" s="57"/>
    </row>
    <row r="4" spans="1:6" x14ac:dyDescent="0.25">
      <c r="A4" s="521"/>
      <c r="B4" s="524"/>
      <c r="C4" s="524"/>
      <c r="D4" s="97">
        <v>0.1</v>
      </c>
      <c r="E4" s="57"/>
    </row>
    <row r="5" spans="1:6" ht="23.25" thickBot="1" x14ac:dyDescent="0.3">
      <c r="A5" s="522"/>
      <c r="B5" s="98" t="s">
        <v>469</v>
      </c>
      <c r="C5" s="61" t="s">
        <v>469</v>
      </c>
      <c r="D5" s="61" t="s">
        <v>469</v>
      </c>
      <c r="E5" s="57"/>
    </row>
    <row r="6" spans="1:6" ht="15.75" thickTop="1" x14ac:dyDescent="0.25">
      <c r="A6" s="99" t="s">
        <v>132</v>
      </c>
      <c r="B6" s="486">
        <v>8250.25</v>
      </c>
      <c r="C6" s="486">
        <v>4055.21</v>
      </c>
      <c r="D6" s="100"/>
      <c r="E6" s="51"/>
    </row>
    <row r="7" spans="1:6" ht="30" x14ac:dyDescent="0.25">
      <c r="A7" s="101" t="s">
        <v>167</v>
      </c>
      <c r="B7" s="102"/>
      <c r="C7" s="103"/>
      <c r="D7" s="487">
        <v>3649.69</v>
      </c>
      <c r="E7" s="77">
        <f>3946.5*0.9</f>
        <v>3551.85</v>
      </c>
    </row>
    <row r="8" spans="1:6" ht="30" x14ac:dyDescent="0.25">
      <c r="A8" s="101" t="s">
        <v>168</v>
      </c>
      <c r="B8" s="102"/>
      <c r="C8" s="103"/>
      <c r="D8" s="70">
        <v>825.03</v>
      </c>
      <c r="E8" s="77">
        <f>+B6*10%</f>
        <v>825.02500000000009</v>
      </c>
      <c r="F8">
        <f>+'Calculo IP ZDF'!B38*0.9</f>
        <v>3649.6890000000003</v>
      </c>
    </row>
    <row r="9" spans="1:6" ht="30" x14ac:dyDescent="0.25">
      <c r="A9" s="101" t="s">
        <v>169</v>
      </c>
      <c r="B9" s="102"/>
      <c r="C9" s="103"/>
      <c r="D9" s="257">
        <v>4474.72</v>
      </c>
      <c r="E9" s="51"/>
      <c r="F9" s="208">
        <f>+F8+E8</f>
        <v>4474.7139999999999</v>
      </c>
    </row>
    <row r="10" spans="1:6" x14ac:dyDescent="0.25">
      <c r="A10" s="258" t="s">
        <v>137</v>
      </c>
      <c r="B10" s="102"/>
      <c r="C10" s="259">
        <v>546.26</v>
      </c>
      <c r="D10" s="260">
        <v>491.63400000000001</v>
      </c>
      <c r="E10" s="51"/>
    </row>
    <row r="11" spans="1:6" x14ac:dyDescent="0.25">
      <c r="A11" s="101" t="s">
        <v>138</v>
      </c>
      <c r="B11" s="102"/>
      <c r="C11" s="68" t="s">
        <v>139</v>
      </c>
      <c r="D11" s="70" t="s">
        <v>139</v>
      </c>
      <c r="E11" s="51"/>
    </row>
    <row r="12" spans="1:6" x14ac:dyDescent="0.25">
      <c r="A12" s="255" t="s">
        <v>140</v>
      </c>
      <c r="B12" s="102"/>
      <c r="C12" s="256">
        <v>155</v>
      </c>
      <c r="D12" s="257">
        <v>139.5</v>
      </c>
      <c r="E12" s="51"/>
    </row>
    <row r="13" spans="1:6" x14ac:dyDescent="0.25">
      <c r="A13" s="101" t="s">
        <v>133</v>
      </c>
      <c r="B13" s="102"/>
      <c r="C13" s="104">
        <v>8.1370000000000005</v>
      </c>
      <c r="D13" s="70">
        <v>8.1370000000000005</v>
      </c>
      <c r="E13" s="51"/>
    </row>
    <row r="14" spans="1:6" ht="30" x14ac:dyDescent="0.25">
      <c r="A14" s="101" t="s">
        <v>170</v>
      </c>
      <c r="B14" s="102"/>
      <c r="C14" s="103"/>
      <c r="D14" s="105" t="s">
        <v>135</v>
      </c>
      <c r="E14" s="51"/>
    </row>
    <row r="15" spans="1:6" ht="30" x14ac:dyDescent="0.25">
      <c r="A15" s="101" t="s">
        <v>171</v>
      </c>
      <c r="B15" s="102"/>
      <c r="C15" s="106"/>
      <c r="D15" s="105" t="s">
        <v>142</v>
      </c>
      <c r="E15" s="51"/>
    </row>
    <row r="16" spans="1:6" x14ac:dyDescent="0.25">
      <c r="A16" s="101" t="s">
        <v>273</v>
      </c>
      <c r="B16" s="102"/>
      <c r="C16" s="103">
        <v>71.510000000000005</v>
      </c>
      <c r="D16" s="105">
        <v>71.510000000000005</v>
      </c>
      <c r="E16" s="51"/>
    </row>
    <row r="17" spans="1:5" x14ac:dyDescent="0.25">
      <c r="A17" s="101" t="s">
        <v>172</v>
      </c>
      <c r="B17" s="102"/>
      <c r="C17" s="103" t="s">
        <v>144</v>
      </c>
      <c r="D17" s="105" t="s">
        <v>144</v>
      </c>
      <c r="E17" s="51"/>
    </row>
    <row r="18" spans="1:5" x14ac:dyDescent="0.25">
      <c r="A18" s="101" t="s">
        <v>145</v>
      </c>
      <c r="B18" s="102"/>
      <c r="C18" s="103">
        <v>1269.69</v>
      </c>
      <c r="D18" s="105">
        <v>1142.72</v>
      </c>
      <c r="E18" s="51"/>
    </row>
    <row r="19" spans="1:5" x14ac:dyDescent="0.25">
      <c r="A19" s="101" t="s">
        <v>173</v>
      </c>
      <c r="B19" s="102"/>
      <c r="C19" s="104" t="s">
        <v>174</v>
      </c>
      <c r="D19" s="105" t="s">
        <v>150</v>
      </c>
      <c r="E19" s="51"/>
    </row>
    <row r="20" spans="1:5" ht="30" x14ac:dyDescent="0.25">
      <c r="A20" s="101" t="s">
        <v>175</v>
      </c>
      <c r="B20" s="102"/>
      <c r="C20" s="103" t="s">
        <v>174</v>
      </c>
      <c r="D20" s="105" t="s">
        <v>144</v>
      </c>
      <c r="E20" s="51"/>
    </row>
    <row r="21" spans="1:5" x14ac:dyDescent="0.25">
      <c r="A21" s="101" t="s">
        <v>176</v>
      </c>
      <c r="B21" s="102"/>
      <c r="C21" s="73" t="s">
        <v>174</v>
      </c>
      <c r="D21" s="105" t="s">
        <v>150</v>
      </c>
      <c r="E21" s="51"/>
    </row>
    <row r="22" spans="1:5" x14ac:dyDescent="0.25">
      <c r="A22" s="101" t="s">
        <v>177</v>
      </c>
      <c r="B22" s="102"/>
      <c r="C22" s="103" t="s">
        <v>174</v>
      </c>
      <c r="D22" s="105" t="s">
        <v>178</v>
      </c>
      <c r="E22" s="51"/>
    </row>
    <row r="23" spans="1:5" x14ac:dyDescent="0.25">
      <c r="A23" s="101" t="s">
        <v>151</v>
      </c>
      <c r="B23" s="102"/>
      <c r="C23" s="103" t="s">
        <v>174</v>
      </c>
      <c r="D23" s="105" t="s">
        <v>150</v>
      </c>
      <c r="E23" s="51"/>
    </row>
    <row r="24" spans="1:5" ht="30.75" thickBot="1" x14ac:dyDescent="0.3">
      <c r="A24" s="107" t="s">
        <v>179</v>
      </c>
      <c r="B24" s="108"/>
      <c r="C24" s="109" t="s">
        <v>174</v>
      </c>
      <c r="D24" s="110" t="s">
        <v>144</v>
      </c>
      <c r="E24" s="51"/>
    </row>
    <row r="25" spans="1:5" ht="15.75" thickTop="1" x14ac:dyDescent="0.25">
      <c r="A25" s="111"/>
      <c r="B25" s="111"/>
      <c r="C25" s="112"/>
      <c r="D25" s="113"/>
      <c r="E25" s="111"/>
    </row>
    <row r="26" spans="1:5" x14ac:dyDescent="0.25">
      <c r="A26" s="532" t="s">
        <v>180</v>
      </c>
      <c r="B26" s="532"/>
      <c r="C26" s="532"/>
      <c r="D26" s="532"/>
      <c r="E26" s="114"/>
    </row>
    <row r="27" spans="1:5" x14ac:dyDescent="0.25">
      <c r="A27" s="115"/>
      <c r="B27" s="115"/>
      <c r="C27" s="115"/>
      <c r="D27" s="115"/>
      <c r="E27" s="114"/>
    </row>
    <row r="28" spans="1:5" x14ac:dyDescent="0.25">
      <c r="A28" s="530" t="s">
        <v>181</v>
      </c>
      <c r="B28" s="530"/>
      <c r="C28" s="530"/>
      <c r="D28" s="530"/>
      <c r="E28" s="114"/>
    </row>
    <row r="29" spans="1:5" x14ac:dyDescent="0.25">
      <c r="A29" s="116"/>
      <c r="B29" s="116"/>
      <c r="C29" s="117"/>
      <c r="D29" s="117"/>
      <c r="E29" s="114"/>
    </row>
    <row r="30" spans="1:5" x14ac:dyDescent="0.25">
      <c r="A30" s="530" t="s">
        <v>182</v>
      </c>
      <c r="B30" s="530"/>
      <c r="C30" s="530"/>
      <c r="D30" s="530"/>
      <c r="E30" s="114"/>
    </row>
    <row r="31" spans="1:5" x14ac:dyDescent="0.25">
      <c r="A31" s="116"/>
      <c r="B31" s="116"/>
      <c r="C31" s="117"/>
      <c r="D31" s="117"/>
      <c r="E31" s="114"/>
    </row>
    <row r="32" spans="1:5" x14ac:dyDescent="0.25">
      <c r="A32" s="531" t="s">
        <v>183</v>
      </c>
      <c r="B32" s="531"/>
      <c r="C32" s="531"/>
      <c r="D32" s="531"/>
      <c r="E32" s="118"/>
    </row>
    <row r="33" spans="1:5" x14ac:dyDescent="0.25">
      <c r="A33" s="116"/>
      <c r="B33" s="116"/>
      <c r="C33" s="117"/>
      <c r="D33" s="117"/>
      <c r="E33" s="114"/>
    </row>
    <row r="34" spans="1:5" x14ac:dyDescent="0.25">
      <c r="A34" s="530" t="s">
        <v>184</v>
      </c>
      <c r="B34" s="530"/>
      <c r="C34" s="530"/>
      <c r="D34" s="530"/>
      <c r="E34" s="114"/>
    </row>
    <row r="35" spans="1:5" x14ac:dyDescent="0.25">
      <c r="A35" s="119"/>
      <c r="B35" s="119"/>
      <c r="C35" s="119"/>
      <c r="D35" s="119"/>
      <c r="E35" s="114"/>
    </row>
    <row r="36" spans="1:5" x14ac:dyDescent="0.25">
      <c r="A36" s="528" t="s">
        <v>157</v>
      </c>
      <c r="B36" s="528"/>
      <c r="C36" s="528"/>
      <c r="D36" s="528"/>
      <c r="E36" s="528"/>
    </row>
    <row r="37" spans="1:5" x14ac:dyDescent="0.25">
      <c r="A37" s="528" t="s">
        <v>160</v>
      </c>
      <c r="B37" s="528"/>
      <c r="C37" s="528"/>
      <c r="D37" s="528"/>
      <c r="E37" s="87"/>
    </row>
    <row r="38" spans="1:5" x14ac:dyDescent="0.25">
      <c r="A38" s="528" t="s">
        <v>161</v>
      </c>
      <c r="B38" s="528"/>
      <c r="C38" s="528"/>
      <c r="D38" s="528"/>
      <c r="E38" s="87"/>
    </row>
    <row r="39" spans="1:5" x14ac:dyDescent="0.25">
      <c r="A39" s="528" t="s">
        <v>162</v>
      </c>
      <c r="B39" s="528"/>
      <c r="C39" s="528"/>
      <c r="D39" s="528"/>
      <c r="E39" s="111"/>
    </row>
    <row r="40" spans="1:5" x14ac:dyDescent="0.25">
      <c r="A40" s="50"/>
      <c r="B40" s="50"/>
      <c r="C40" s="50"/>
      <c r="D40" s="50"/>
      <c r="E40" s="111"/>
    </row>
    <row r="41" spans="1:5" x14ac:dyDescent="0.25">
      <c r="A41" s="527" t="s">
        <v>163</v>
      </c>
      <c r="B41" s="527"/>
      <c r="C41" s="527"/>
      <c r="D41" s="527"/>
      <c r="E41" s="111"/>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E6" sqref="E6"/>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41" t="str">
        <f>CONCATENATE("ESTRUCTURA DE PRECIOS DE GASOLINA EXTRA OXIGENADA VIGENTE A PARTIR DE ",'[5]COMBUSTIBLES '!$A$1)</f>
        <v>ESTRUCTURA DE PRECIOS DE GASOLINA EXTRA OXIGENADA VIGENTE A PARTIR DE 1 DE ABRIL 2019</v>
      </c>
      <c r="B1" s="542"/>
      <c r="C1" s="542"/>
      <c r="D1" s="542"/>
    </row>
    <row r="2" spans="1:6" ht="16.5" x14ac:dyDescent="0.25">
      <c r="A2" s="543" t="s">
        <v>124</v>
      </c>
      <c r="B2" s="544"/>
      <c r="C2" s="544"/>
      <c r="D2" s="544"/>
    </row>
    <row r="3" spans="1:6" ht="30" customHeight="1" x14ac:dyDescent="0.25">
      <c r="A3" s="537" t="s">
        <v>125</v>
      </c>
      <c r="B3" s="538" t="s">
        <v>164</v>
      </c>
      <c r="C3" s="538" t="s">
        <v>434</v>
      </c>
      <c r="D3" s="410" t="s">
        <v>186</v>
      </c>
      <c r="E3" s="539" t="s">
        <v>435</v>
      </c>
      <c r="F3" s="411" t="s">
        <v>186</v>
      </c>
    </row>
    <row r="4" spans="1:6" x14ac:dyDescent="0.25">
      <c r="A4" s="521"/>
      <c r="B4" s="524"/>
      <c r="C4" s="524"/>
      <c r="D4" s="412">
        <v>0.1</v>
      </c>
      <c r="E4" s="540"/>
      <c r="F4" s="413">
        <v>0.1</v>
      </c>
    </row>
    <row r="5" spans="1:6" ht="43.5" thickBot="1" x14ac:dyDescent="0.3">
      <c r="A5" s="522"/>
      <c r="B5" s="120" t="s">
        <v>436</v>
      </c>
      <c r="C5" s="120" t="s">
        <v>436</v>
      </c>
      <c r="D5" s="414" t="s">
        <v>436</v>
      </c>
      <c r="E5" s="120" t="s">
        <v>436</v>
      </c>
      <c r="F5" s="121" t="s">
        <v>436</v>
      </c>
    </row>
    <row r="6" spans="1:6" ht="15.75" thickTop="1" x14ac:dyDescent="0.25">
      <c r="A6" s="63" t="s">
        <v>132</v>
      </c>
      <c r="B6" s="122">
        <v>8286.2999999999993</v>
      </c>
      <c r="C6" s="122">
        <v>5700</v>
      </c>
      <c r="D6" s="415">
        <v>5958.63</v>
      </c>
      <c r="E6" s="416">
        <v>5700</v>
      </c>
      <c r="F6" s="417">
        <v>5958.63</v>
      </c>
    </row>
    <row r="7" spans="1:6" x14ac:dyDescent="0.25">
      <c r="A7" s="67" t="s">
        <v>187</v>
      </c>
      <c r="B7" s="73"/>
      <c r="C7" s="73">
        <v>8.1370000000000005</v>
      </c>
      <c r="D7" s="418">
        <v>8.1370000000000005</v>
      </c>
      <c r="E7" s="418">
        <v>8.1370000000000005</v>
      </c>
      <c r="F7" s="76">
        <v>8.1370000000000005</v>
      </c>
    </row>
    <row r="8" spans="1:6" ht="30" x14ac:dyDescent="0.25">
      <c r="A8" s="67" t="s">
        <v>134</v>
      </c>
      <c r="B8" s="103"/>
      <c r="C8" s="103" t="s">
        <v>135</v>
      </c>
      <c r="D8" s="419" t="s">
        <v>135</v>
      </c>
      <c r="E8" s="419" t="s">
        <v>135</v>
      </c>
      <c r="F8" s="123" t="s">
        <v>135</v>
      </c>
    </row>
    <row r="9" spans="1:6" x14ac:dyDescent="0.25">
      <c r="A9" s="67" t="s">
        <v>273</v>
      </c>
      <c r="B9" s="103"/>
      <c r="C9" s="103">
        <v>71.510000000000005</v>
      </c>
      <c r="D9" s="419">
        <v>71.510000000000005</v>
      </c>
      <c r="E9" s="419">
        <v>71.510000000000005</v>
      </c>
      <c r="F9" s="123">
        <v>71.510000000000005</v>
      </c>
    </row>
    <row r="10" spans="1:6" ht="30" x14ac:dyDescent="0.25">
      <c r="A10" s="261" t="s">
        <v>137</v>
      </c>
      <c r="B10" s="73"/>
      <c r="C10" s="73">
        <v>1036.78</v>
      </c>
      <c r="D10" s="418">
        <v>933.1</v>
      </c>
      <c r="E10" s="73">
        <v>1036.78</v>
      </c>
      <c r="F10" s="420">
        <v>933.1</v>
      </c>
    </row>
    <row r="11" spans="1:6" x14ac:dyDescent="0.25">
      <c r="A11" s="67" t="s">
        <v>138</v>
      </c>
      <c r="B11" s="73"/>
      <c r="C11" s="69" t="s">
        <v>139</v>
      </c>
      <c r="D11" s="421" t="s">
        <v>139</v>
      </c>
      <c r="E11" s="69" t="s">
        <v>139</v>
      </c>
      <c r="F11" s="422" t="s">
        <v>139</v>
      </c>
    </row>
    <row r="12" spans="1:6" x14ac:dyDescent="0.25">
      <c r="A12" s="255" t="s">
        <v>140</v>
      </c>
      <c r="B12" s="73"/>
      <c r="C12" s="73">
        <v>155</v>
      </c>
      <c r="D12" s="418">
        <v>139.5</v>
      </c>
      <c r="E12" s="73">
        <v>155</v>
      </c>
      <c r="F12" s="420">
        <v>139.5</v>
      </c>
    </row>
    <row r="13" spans="1:6" ht="30" x14ac:dyDescent="0.25">
      <c r="A13" s="67" t="s">
        <v>188</v>
      </c>
      <c r="B13" s="103"/>
      <c r="C13" s="103" t="s">
        <v>142</v>
      </c>
      <c r="D13" s="419" t="s">
        <v>142</v>
      </c>
      <c r="E13" s="103" t="s">
        <v>142</v>
      </c>
      <c r="F13" s="423" t="s">
        <v>142</v>
      </c>
    </row>
    <row r="14" spans="1:6" x14ac:dyDescent="0.25">
      <c r="A14" s="67" t="s">
        <v>189</v>
      </c>
      <c r="B14" s="73"/>
      <c r="C14" s="124"/>
      <c r="D14" s="424"/>
      <c r="E14" s="124"/>
      <c r="F14" s="425"/>
    </row>
    <row r="15" spans="1:6" x14ac:dyDescent="0.25">
      <c r="A15" s="67" t="s">
        <v>145</v>
      </c>
      <c r="B15" s="73"/>
      <c r="C15" s="73">
        <v>1776.95</v>
      </c>
      <c r="D15" s="418">
        <v>1599.26</v>
      </c>
      <c r="E15" s="73">
        <v>1776.95</v>
      </c>
      <c r="F15" s="420">
        <v>1599.26</v>
      </c>
    </row>
    <row r="16" spans="1:6" ht="30" x14ac:dyDescent="0.25">
      <c r="A16" s="67" t="s">
        <v>147</v>
      </c>
      <c r="B16" s="126"/>
      <c r="C16" s="126"/>
      <c r="D16" s="426"/>
      <c r="E16" s="126"/>
      <c r="F16" s="427"/>
    </row>
    <row r="17" spans="1:6" x14ac:dyDescent="0.25">
      <c r="A17" s="67" t="s">
        <v>190</v>
      </c>
      <c r="B17" s="73"/>
      <c r="C17" s="124"/>
      <c r="D17" s="424"/>
      <c r="E17" s="124"/>
      <c r="F17" s="125"/>
    </row>
    <row r="18" spans="1:6" x14ac:dyDescent="0.25">
      <c r="A18" s="67" t="s">
        <v>149</v>
      </c>
      <c r="B18" s="73"/>
      <c r="C18" s="73"/>
      <c r="D18" s="418"/>
      <c r="E18" s="73"/>
      <c r="F18" s="76"/>
    </row>
    <row r="19" spans="1:6" ht="30" x14ac:dyDescent="0.25">
      <c r="A19" s="67" t="s">
        <v>151</v>
      </c>
      <c r="B19" s="73"/>
      <c r="C19" s="73"/>
      <c r="D19" s="418"/>
      <c r="E19" s="73"/>
      <c r="F19" s="76"/>
    </row>
    <row r="20" spans="1:6" ht="15.75" thickBot="1" x14ac:dyDescent="0.3">
      <c r="A20" s="83" t="s">
        <v>152</v>
      </c>
      <c r="B20" s="109"/>
      <c r="C20" s="109" t="s">
        <v>142</v>
      </c>
      <c r="D20" s="428" t="s">
        <v>142</v>
      </c>
      <c r="E20" s="109" t="s">
        <v>142</v>
      </c>
      <c r="F20" s="127"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Normal="100" workbookViewId="0">
      <selection activeCell="E37" sqref="E37"/>
    </sheetView>
  </sheetViews>
  <sheetFormatPr baseColWidth="10" defaultRowHeight="12.75" x14ac:dyDescent="0.2"/>
  <cols>
    <col min="1" max="1" width="50.28515625" style="128" customWidth="1"/>
    <col min="2" max="2" width="13.140625" style="128" bestFit="1" customWidth="1"/>
    <col min="3" max="5" width="11.42578125" style="128"/>
    <col min="6" max="6" width="0" style="128" hidden="1" customWidth="1"/>
    <col min="7" max="16384" width="11.42578125" style="128"/>
  </cols>
  <sheetData>
    <row r="1" spans="1:10" ht="34.5" customHeight="1" thickTop="1" x14ac:dyDescent="0.2">
      <c r="A1" s="545" t="s">
        <v>466</v>
      </c>
      <c r="B1" s="546"/>
      <c r="C1" s="546"/>
      <c r="D1" s="546"/>
      <c r="E1" s="546"/>
      <c r="F1" s="546"/>
      <c r="G1" s="546"/>
    </row>
    <row r="2" spans="1:10" x14ac:dyDescent="0.2">
      <c r="A2" s="547" t="s">
        <v>124</v>
      </c>
      <c r="B2" s="548"/>
      <c r="C2" s="548"/>
      <c r="D2" s="548"/>
      <c r="E2" s="548"/>
      <c r="F2" s="548"/>
      <c r="G2" s="548"/>
    </row>
    <row r="3" spans="1:10" ht="51" x14ac:dyDescent="0.2">
      <c r="A3" s="549" t="s">
        <v>125</v>
      </c>
      <c r="B3" s="129" t="s">
        <v>191</v>
      </c>
      <c r="C3" s="552" t="s">
        <v>192</v>
      </c>
      <c r="D3" s="552" t="s">
        <v>193</v>
      </c>
      <c r="E3" s="130" t="s">
        <v>194</v>
      </c>
      <c r="F3" s="475" t="s">
        <v>195</v>
      </c>
      <c r="G3" s="130" t="s">
        <v>444</v>
      </c>
    </row>
    <row r="4" spans="1:10" x14ac:dyDescent="0.2">
      <c r="A4" s="550"/>
      <c r="B4" s="131">
        <v>1</v>
      </c>
      <c r="C4" s="553"/>
      <c r="D4" s="553"/>
      <c r="E4" s="132">
        <v>0.02</v>
      </c>
      <c r="F4" s="476">
        <v>0.04</v>
      </c>
      <c r="G4" s="132">
        <v>0.1</v>
      </c>
    </row>
    <row r="5" spans="1:10" ht="13.5" thickBot="1" x14ac:dyDescent="0.25">
      <c r="A5" s="551"/>
      <c r="B5" s="133" t="str">
        <f>+'[5]COMBUSTIBLES '!C5</f>
        <v>Ecopetrol</v>
      </c>
      <c r="C5" s="133" t="str">
        <f>+B5</f>
        <v>Ecopetrol</v>
      </c>
      <c r="D5" s="133" t="str">
        <f>+C5</f>
        <v>Ecopetrol</v>
      </c>
      <c r="E5" s="134" t="str">
        <f>+B5</f>
        <v>Ecopetrol</v>
      </c>
      <c r="F5" s="477" t="str">
        <f>+B5</f>
        <v>Ecopetrol</v>
      </c>
      <c r="G5" s="134" t="str">
        <f>+B5</f>
        <v>Ecopetrol</v>
      </c>
    </row>
    <row r="6" spans="1:10" ht="13.5" thickTop="1" x14ac:dyDescent="0.2">
      <c r="A6" s="135" t="s">
        <v>132</v>
      </c>
      <c r="B6" s="488">
        <v>14180.97</v>
      </c>
      <c r="C6" s="136">
        <v>4276.1000000000004</v>
      </c>
      <c r="D6" s="136">
        <v>4276.1000000000004</v>
      </c>
      <c r="E6" s="137"/>
      <c r="F6" s="478"/>
      <c r="G6" s="137"/>
      <c r="I6" s="474" t="s">
        <v>457</v>
      </c>
    </row>
    <row r="7" spans="1:10" x14ac:dyDescent="0.2">
      <c r="A7" s="138" t="s">
        <v>196</v>
      </c>
      <c r="B7" s="139"/>
      <c r="C7" s="140"/>
      <c r="D7" s="140"/>
      <c r="E7" s="141">
        <v>4190.58</v>
      </c>
      <c r="F7" s="479">
        <v>4105.0600000000004</v>
      </c>
      <c r="G7" s="141">
        <v>3848.49</v>
      </c>
    </row>
    <row r="8" spans="1:10" x14ac:dyDescent="0.2">
      <c r="A8" s="138" t="s">
        <v>197</v>
      </c>
      <c r="B8" s="142"/>
      <c r="C8" s="142"/>
      <c r="D8" s="142"/>
      <c r="E8" s="141">
        <v>283.62</v>
      </c>
      <c r="F8" s="479">
        <v>567.24</v>
      </c>
      <c r="G8" s="141">
        <v>1418.1</v>
      </c>
      <c r="I8" s="210"/>
    </row>
    <row r="9" spans="1:10" ht="25.5" x14ac:dyDescent="0.2">
      <c r="A9" s="138" t="s">
        <v>198</v>
      </c>
      <c r="B9" s="142"/>
      <c r="C9" s="142"/>
      <c r="D9" s="142"/>
      <c r="E9" s="265">
        <v>4474.2</v>
      </c>
      <c r="F9" s="480">
        <v>4672.3</v>
      </c>
      <c r="G9" s="265">
        <v>5266.59</v>
      </c>
      <c r="I9" s="210">
        <f>+B6*8%</f>
        <v>1134.4775999999999</v>
      </c>
    </row>
    <row r="10" spans="1:10" x14ac:dyDescent="0.2">
      <c r="A10" s="263" t="s">
        <v>137</v>
      </c>
      <c r="B10" s="142"/>
      <c r="C10" s="264">
        <v>522.85</v>
      </c>
      <c r="D10" s="264">
        <v>522.85</v>
      </c>
      <c r="E10" s="262">
        <v>512.39</v>
      </c>
      <c r="F10" s="481">
        <v>501.94</v>
      </c>
      <c r="G10" s="262">
        <v>470.57</v>
      </c>
      <c r="J10" s="128">
        <f>+D12*94%</f>
        <v>163.56</v>
      </c>
    </row>
    <row r="11" spans="1:10" x14ac:dyDescent="0.2">
      <c r="A11" s="138" t="s">
        <v>138</v>
      </c>
      <c r="B11" s="142"/>
      <c r="C11" s="142" t="s">
        <v>139</v>
      </c>
      <c r="D11" s="142" t="s">
        <v>139</v>
      </c>
      <c r="E11" s="141" t="s">
        <v>139</v>
      </c>
      <c r="F11" s="479" t="s">
        <v>139</v>
      </c>
      <c r="G11" s="141" t="s">
        <v>139</v>
      </c>
      <c r="J11" s="128">
        <f>+C12*98%</f>
        <v>170.52</v>
      </c>
    </row>
    <row r="12" spans="1:10" x14ac:dyDescent="0.2">
      <c r="A12" s="266" t="s">
        <v>140</v>
      </c>
      <c r="B12" s="142"/>
      <c r="C12" s="267">
        <v>174</v>
      </c>
      <c r="D12" s="267">
        <v>174</v>
      </c>
      <c r="E12" s="267">
        <v>170.52</v>
      </c>
      <c r="F12" s="482">
        <v>167.04</v>
      </c>
      <c r="G12" s="267">
        <v>156.6</v>
      </c>
    </row>
    <row r="13" spans="1:10" x14ac:dyDescent="0.2">
      <c r="A13" s="138" t="s">
        <v>133</v>
      </c>
      <c r="B13" s="142"/>
      <c r="C13" s="143">
        <v>8.1370000000000005</v>
      </c>
      <c r="D13" s="143">
        <v>8.1370000000000005</v>
      </c>
      <c r="E13" s="141">
        <v>8.1370000000000005</v>
      </c>
      <c r="F13" s="479">
        <v>8.1370000000000005</v>
      </c>
      <c r="G13" s="141">
        <v>8.1370000000000005</v>
      </c>
    </row>
    <row r="14" spans="1:10" x14ac:dyDescent="0.2">
      <c r="A14" s="138" t="s">
        <v>199</v>
      </c>
      <c r="B14" s="142"/>
      <c r="C14" s="142" t="s">
        <v>135</v>
      </c>
      <c r="D14" s="142" t="s">
        <v>135</v>
      </c>
      <c r="E14" s="141" t="s">
        <v>135</v>
      </c>
      <c r="F14" s="479" t="s">
        <v>135</v>
      </c>
      <c r="G14" s="141" t="s">
        <v>135</v>
      </c>
    </row>
    <row r="15" spans="1:10" x14ac:dyDescent="0.2">
      <c r="A15" s="138" t="s">
        <v>200</v>
      </c>
      <c r="B15" s="142" t="s">
        <v>174</v>
      </c>
      <c r="C15" s="142"/>
      <c r="D15" s="142"/>
      <c r="E15" s="141" t="s">
        <v>142</v>
      </c>
      <c r="F15" s="479" t="s">
        <v>142</v>
      </c>
      <c r="G15" s="141" t="s">
        <v>142</v>
      </c>
    </row>
    <row r="16" spans="1:10" x14ac:dyDescent="0.2">
      <c r="A16" s="144" t="s">
        <v>273</v>
      </c>
      <c r="B16" s="142"/>
      <c r="C16" s="142">
        <v>71.510000000000005</v>
      </c>
      <c r="D16" s="142">
        <v>71.510000000000005</v>
      </c>
      <c r="E16" s="141">
        <v>71.510000000000005</v>
      </c>
      <c r="F16" s="479">
        <v>71.510000000000005</v>
      </c>
      <c r="G16" s="141">
        <v>71.510000000000005</v>
      </c>
    </row>
    <row r="17" spans="1:7" x14ac:dyDescent="0.2">
      <c r="A17" s="138" t="s">
        <v>172</v>
      </c>
      <c r="B17" s="142"/>
      <c r="C17" s="142"/>
      <c r="D17" s="142"/>
      <c r="E17" s="141"/>
      <c r="F17" s="479"/>
      <c r="G17" s="141"/>
    </row>
    <row r="18" spans="1:7" x14ac:dyDescent="0.2">
      <c r="A18" s="138" t="s">
        <v>173</v>
      </c>
      <c r="B18" s="145"/>
      <c r="C18" s="146"/>
      <c r="D18" s="146"/>
      <c r="E18" s="147" t="s">
        <v>174</v>
      </c>
      <c r="F18" s="483"/>
      <c r="G18" s="148" t="s">
        <v>150</v>
      </c>
    </row>
    <row r="19" spans="1:7" ht="25.5" x14ac:dyDescent="0.2">
      <c r="A19" s="138" t="s">
        <v>175</v>
      </c>
      <c r="B19" s="145"/>
      <c r="C19" s="145"/>
      <c r="D19" s="145"/>
      <c r="E19" s="147" t="s">
        <v>174</v>
      </c>
      <c r="F19" s="483"/>
      <c r="G19" s="147" t="s">
        <v>144</v>
      </c>
    </row>
    <row r="20" spans="1:7" x14ac:dyDescent="0.2">
      <c r="A20" s="138" t="s">
        <v>176</v>
      </c>
      <c r="B20" s="145"/>
      <c r="C20" s="145"/>
      <c r="D20" s="145"/>
      <c r="E20" s="147" t="s">
        <v>174</v>
      </c>
      <c r="F20" s="483"/>
      <c r="G20" s="141" t="s">
        <v>150</v>
      </c>
    </row>
    <row r="21" spans="1:7" ht="25.5" x14ac:dyDescent="0.2">
      <c r="A21" s="138" t="s">
        <v>201</v>
      </c>
      <c r="B21" s="145"/>
      <c r="C21" s="145"/>
      <c r="D21" s="145"/>
      <c r="E21" s="147" t="s">
        <v>174</v>
      </c>
      <c r="F21" s="483"/>
      <c r="G21" s="141" t="s">
        <v>150</v>
      </c>
    </row>
    <row r="22" spans="1:7" x14ac:dyDescent="0.2">
      <c r="A22" s="149" t="s">
        <v>145</v>
      </c>
      <c r="B22" s="142"/>
      <c r="C22" s="142"/>
      <c r="D22" s="142"/>
      <c r="E22" s="141"/>
      <c r="F22" s="479"/>
      <c r="G22" s="141">
        <v>301.48</v>
      </c>
    </row>
    <row r="23" spans="1:7" ht="26.25" thickBot="1" x14ac:dyDescent="0.25">
      <c r="A23" s="150" t="s">
        <v>179</v>
      </c>
      <c r="B23" s="151"/>
      <c r="C23" s="151"/>
      <c r="D23" s="151"/>
      <c r="E23" s="152" t="s">
        <v>174</v>
      </c>
      <c r="F23" s="484"/>
      <c r="G23" s="152" t="s">
        <v>144</v>
      </c>
    </row>
    <row r="24" spans="1:7" ht="13.5" thickTop="1" x14ac:dyDescent="0.2">
      <c r="F24" s="128" t="s">
        <v>458</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C7" sqref="C7"/>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3"/>
      <c r="B1" s="179" t="s">
        <v>452</v>
      </c>
      <c r="C1" s="179"/>
      <c r="D1" s="179"/>
      <c r="E1" s="154"/>
      <c r="F1" s="154"/>
      <c r="G1" s="154"/>
      <c r="H1" s="154"/>
    </row>
    <row r="2" spans="1:8" ht="15.75" thickBot="1" x14ac:dyDescent="0.3">
      <c r="A2" s="180" t="s">
        <v>202</v>
      </c>
      <c r="B2" s="181"/>
      <c r="C2" s="181"/>
      <c r="D2" s="181"/>
      <c r="E2" s="181"/>
      <c r="F2" s="181"/>
      <c r="G2" s="181"/>
      <c r="H2" s="181"/>
    </row>
    <row r="3" spans="1:8" ht="15.75" thickTop="1" x14ac:dyDescent="0.25">
      <c r="A3" s="182"/>
      <c r="B3" s="183" t="s">
        <v>242</v>
      </c>
      <c r="C3" s="554" t="s">
        <v>203</v>
      </c>
      <c r="D3" s="555"/>
      <c r="E3" s="555"/>
      <c r="F3" s="555"/>
      <c r="G3" s="558" t="s">
        <v>243</v>
      </c>
      <c r="H3" s="559"/>
    </row>
    <row r="4" spans="1:8" x14ac:dyDescent="0.25">
      <c r="A4" s="184"/>
      <c r="B4" s="185" t="s">
        <v>244</v>
      </c>
      <c r="C4" s="556"/>
      <c r="D4" s="557"/>
      <c r="E4" s="557"/>
      <c r="F4" s="557"/>
      <c r="G4" s="560"/>
      <c r="H4" s="561"/>
    </row>
    <row r="5" spans="1:8" ht="25.5" x14ac:dyDescent="0.25">
      <c r="A5" s="562" t="s">
        <v>204</v>
      </c>
      <c r="B5" s="564" t="s">
        <v>205</v>
      </c>
      <c r="C5" s="566" t="s">
        <v>266</v>
      </c>
      <c r="D5" s="460" t="s">
        <v>97</v>
      </c>
      <c r="E5" s="460" t="s">
        <v>438</v>
      </c>
      <c r="F5" s="460" t="s">
        <v>444</v>
      </c>
      <c r="G5" s="460" t="s">
        <v>97</v>
      </c>
      <c r="H5" s="458" t="s">
        <v>444</v>
      </c>
    </row>
    <row r="6" spans="1:8" x14ac:dyDescent="0.25">
      <c r="A6" s="562"/>
      <c r="B6" s="564"/>
      <c r="C6" s="567"/>
      <c r="D6" s="187">
        <v>0.08</v>
      </c>
      <c r="E6" s="205">
        <v>0.02</v>
      </c>
      <c r="F6" s="188">
        <v>0.1</v>
      </c>
      <c r="G6" s="205">
        <v>0.1</v>
      </c>
      <c r="H6" s="188">
        <v>0.1</v>
      </c>
    </row>
    <row r="7" spans="1:8" x14ac:dyDescent="0.25">
      <c r="A7" s="563"/>
      <c r="B7" s="565"/>
      <c r="C7" s="459" t="s">
        <v>206</v>
      </c>
      <c r="D7" s="460" t="s">
        <v>206</v>
      </c>
      <c r="E7" s="460" t="s">
        <v>206</v>
      </c>
      <c r="F7" s="460" t="s">
        <v>206</v>
      </c>
      <c r="G7" s="459" t="s">
        <v>206</v>
      </c>
      <c r="H7" s="458" t="s">
        <v>206</v>
      </c>
    </row>
    <row r="8" spans="1:8" x14ac:dyDescent="0.25">
      <c r="A8" s="158" t="s">
        <v>207</v>
      </c>
      <c r="B8" s="164" t="s">
        <v>208</v>
      </c>
      <c r="C8" s="160">
        <v>2670.5640000000003</v>
      </c>
      <c r="D8" s="189">
        <v>3232.1376000000005</v>
      </c>
      <c r="E8" s="189">
        <v>3058.0507499999999</v>
      </c>
      <c r="F8" s="189">
        <v>3745.8677499999999</v>
      </c>
      <c r="G8" s="160">
        <v>4453.83</v>
      </c>
      <c r="H8" s="161">
        <v>5255.08</v>
      </c>
    </row>
    <row r="9" spans="1:8" x14ac:dyDescent="0.25">
      <c r="A9" s="158" t="s">
        <v>209</v>
      </c>
      <c r="B9" s="164" t="s">
        <v>210</v>
      </c>
      <c r="C9" s="168" t="s">
        <v>211</v>
      </c>
      <c r="D9" s="190" t="s">
        <v>211</v>
      </c>
      <c r="E9" s="190" t="s">
        <v>211</v>
      </c>
      <c r="F9" s="190" t="s">
        <v>211</v>
      </c>
      <c r="G9" s="168">
        <v>491.63400000000001</v>
      </c>
      <c r="H9" s="191">
        <v>470.57</v>
      </c>
    </row>
    <row r="10" spans="1:8" x14ac:dyDescent="0.25">
      <c r="A10" s="158"/>
      <c r="B10" s="164" t="s">
        <v>138</v>
      </c>
      <c r="C10" s="168" t="s">
        <v>211</v>
      </c>
      <c r="D10" s="190" t="s">
        <v>211</v>
      </c>
      <c r="E10" s="190" t="s">
        <v>211</v>
      </c>
      <c r="F10" s="190" t="s">
        <v>211</v>
      </c>
      <c r="G10" s="168" t="s">
        <v>139</v>
      </c>
      <c r="H10" s="191" t="s">
        <v>139</v>
      </c>
    </row>
    <row r="11" spans="1:8" x14ac:dyDescent="0.25">
      <c r="A11" s="158"/>
      <c r="B11" s="164" t="s">
        <v>140</v>
      </c>
      <c r="C11" s="192" t="s">
        <v>241</v>
      </c>
      <c r="D11" s="190" t="s">
        <v>241</v>
      </c>
      <c r="E11" s="190" t="s">
        <v>241</v>
      </c>
      <c r="F11" s="190" t="s">
        <v>241</v>
      </c>
      <c r="G11" s="168" t="s">
        <v>241</v>
      </c>
      <c r="H11" s="191" t="s">
        <v>241</v>
      </c>
    </row>
    <row r="12" spans="1:8" x14ac:dyDescent="0.25">
      <c r="A12" s="158" t="s">
        <v>212</v>
      </c>
      <c r="B12" s="164" t="s">
        <v>349</v>
      </c>
      <c r="C12" s="192" t="s">
        <v>240</v>
      </c>
      <c r="D12" s="193" t="s">
        <v>240</v>
      </c>
      <c r="E12" s="193" t="s">
        <v>240</v>
      </c>
      <c r="F12" s="193" t="s">
        <v>240</v>
      </c>
      <c r="G12" s="192" t="s">
        <v>240</v>
      </c>
      <c r="H12" s="194" t="s">
        <v>240</v>
      </c>
    </row>
    <row r="13" spans="1:8" x14ac:dyDescent="0.25">
      <c r="A13" s="158" t="s">
        <v>214</v>
      </c>
      <c r="B13" s="164" t="s">
        <v>215</v>
      </c>
      <c r="C13" s="160">
        <v>21.906900579364827</v>
      </c>
      <c r="D13" s="189">
        <v>21.906900579364827</v>
      </c>
      <c r="E13" s="189">
        <v>21.906900579364827</v>
      </c>
      <c r="F13" s="189">
        <v>21.906900579364827</v>
      </c>
      <c r="G13" s="160">
        <v>21.906900579364827</v>
      </c>
      <c r="H13" s="161">
        <v>21.906900579364827</v>
      </c>
    </row>
    <row r="14" spans="1:8" x14ac:dyDescent="0.25">
      <c r="A14" s="158" t="s">
        <v>218</v>
      </c>
      <c r="B14" s="164" t="s">
        <v>219</v>
      </c>
      <c r="C14" s="160">
        <v>12.561430159485083</v>
      </c>
      <c r="D14" s="189">
        <v>12.561430159485083</v>
      </c>
      <c r="E14" s="189">
        <v>12.561430159485083</v>
      </c>
      <c r="F14" s="189">
        <v>12.561430159485083</v>
      </c>
      <c r="G14" s="160">
        <v>12.561430159485083</v>
      </c>
      <c r="H14" s="161">
        <v>12.561430159485083</v>
      </c>
    </row>
    <row r="15" spans="1:8" x14ac:dyDescent="0.25">
      <c r="A15" s="158"/>
      <c r="B15" s="164" t="s">
        <v>220</v>
      </c>
      <c r="C15" s="160">
        <v>71.510000000000005</v>
      </c>
      <c r="D15" s="189">
        <v>71.510000000000005</v>
      </c>
      <c r="E15" s="189">
        <v>71.510000000000005</v>
      </c>
      <c r="F15" s="189">
        <v>71.510000000000005</v>
      </c>
      <c r="G15" s="160">
        <v>71.510000000000005</v>
      </c>
      <c r="H15" s="161">
        <v>71.510000000000005</v>
      </c>
    </row>
    <row r="16" spans="1:8" x14ac:dyDescent="0.25">
      <c r="A16" s="165" t="s">
        <v>221</v>
      </c>
      <c r="B16" s="196" t="s">
        <v>222</v>
      </c>
      <c r="C16" s="166">
        <v>2776.5423307388505</v>
      </c>
      <c r="D16" s="197">
        <v>3338.1159307388507</v>
      </c>
      <c r="E16" s="197">
        <v>3164.0290807388501</v>
      </c>
      <c r="F16" s="197">
        <v>3851.8460807388501</v>
      </c>
      <c r="G16" s="166">
        <v>5051.4423307388497</v>
      </c>
      <c r="H16" s="167">
        <v>5831.6283307388494</v>
      </c>
    </row>
    <row r="17" spans="1:10" x14ac:dyDescent="0.25">
      <c r="A17" s="158" t="s">
        <v>245</v>
      </c>
      <c r="B17" s="164" t="s">
        <v>246</v>
      </c>
      <c r="C17" s="160" t="s">
        <v>253</v>
      </c>
      <c r="D17" s="189" t="s">
        <v>253</v>
      </c>
      <c r="E17" s="189" t="s">
        <v>253</v>
      </c>
      <c r="F17" s="189" t="s">
        <v>253</v>
      </c>
      <c r="G17" s="160" t="s">
        <v>253</v>
      </c>
      <c r="H17" s="161" t="s">
        <v>253</v>
      </c>
    </row>
    <row r="18" spans="1:10" x14ac:dyDescent="0.25">
      <c r="A18" s="158" t="s">
        <v>223</v>
      </c>
      <c r="B18" s="164" t="s">
        <v>247</v>
      </c>
      <c r="C18" s="160" t="s">
        <v>255</v>
      </c>
      <c r="D18" s="189" t="s">
        <v>255</v>
      </c>
      <c r="E18" s="189" t="s">
        <v>255</v>
      </c>
      <c r="F18" s="189" t="s">
        <v>255</v>
      </c>
      <c r="G18" s="160" t="s">
        <v>255</v>
      </c>
      <c r="H18" s="161" t="s">
        <v>255</v>
      </c>
    </row>
    <row r="19" spans="1:10" x14ac:dyDescent="0.25">
      <c r="A19" s="158" t="s">
        <v>248</v>
      </c>
      <c r="B19" s="164" t="s">
        <v>249</v>
      </c>
      <c r="C19" s="198" t="s">
        <v>257</v>
      </c>
      <c r="D19" s="195" t="s">
        <v>257</v>
      </c>
      <c r="E19" s="195" t="s">
        <v>257</v>
      </c>
      <c r="F19" s="195" t="s">
        <v>257</v>
      </c>
      <c r="G19" s="160" t="s">
        <v>257</v>
      </c>
      <c r="H19" s="161" t="s">
        <v>257</v>
      </c>
    </row>
    <row r="20" spans="1:10" x14ac:dyDescent="0.25">
      <c r="A20" s="158" t="s">
        <v>227</v>
      </c>
      <c r="B20" s="164" t="s">
        <v>145</v>
      </c>
      <c r="C20" s="160" t="s">
        <v>259</v>
      </c>
      <c r="D20" s="189" t="s">
        <v>259</v>
      </c>
      <c r="E20" s="189" t="s">
        <v>259</v>
      </c>
      <c r="F20" s="189" t="s">
        <v>259</v>
      </c>
      <c r="G20" s="160" t="s">
        <v>259</v>
      </c>
      <c r="H20" s="161" t="s">
        <v>259</v>
      </c>
    </row>
    <row r="21" spans="1:10" x14ac:dyDescent="0.25">
      <c r="A21" s="165" t="s">
        <v>229</v>
      </c>
      <c r="B21" s="196" t="s">
        <v>250</v>
      </c>
      <c r="C21" s="166">
        <v>2776.5423307388505</v>
      </c>
      <c r="D21" s="197">
        <v>3338.1159307388507</v>
      </c>
      <c r="E21" s="197">
        <v>3164.0290807388501</v>
      </c>
      <c r="F21" s="197">
        <v>3851.8460807388501</v>
      </c>
      <c r="G21" s="166">
        <v>5051.4423307388497</v>
      </c>
      <c r="H21" s="167">
        <v>5831.6283307388494</v>
      </c>
    </row>
    <row r="22" spans="1:10" x14ac:dyDescent="0.25">
      <c r="A22" s="158" t="s">
        <v>231</v>
      </c>
      <c r="B22" s="164" t="s">
        <v>176</v>
      </c>
      <c r="C22" s="160" t="s">
        <v>255</v>
      </c>
      <c r="D22" s="189" t="s">
        <v>255</v>
      </c>
      <c r="E22" s="189" t="s">
        <v>255</v>
      </c>
      <c r="F22" s="189" t="s">
        <v>255</v>
      </c>
      <c r="G22" s="160" t="s">
        <v>255</v>
      </c>
      <c r="H22" s="161" t="s">
        <v>255</v>
      </c>
    </row>
    <row r="23" spans="1:10" x14ac:dyDescent="0.25">
      <c r="A23" s="158" t="s">
        <v>232</v>
      </c>
      <c r="B23" s="159" t="s">
        <v>233</v>
      </c>
      <c r="C23" s="198" t="s">
        <v>261</v>
      </c>
      <c r="D23" s="195" t="s">
        <v>261</v>
      </c>
      <c r="E23" s="195" t="s">
        <v>234</v>
      </c>
      <c r="F23" s="195" t="s">
        <v>234</v>
      </c>
      <c r="G23" s="198" t="s">
        <v>261</v>
      </c>
      <c r="H23" s="163" t="s">
        <v>234</v>
      </c>
    </row>
    <row r="24" spans="1:10" x14ac:dyDescent="0.25">
      <c r="A24" s="158" t="s">
        <v>235</v>
      </c>
      <c r="B24" s="164" t="s">
        <v>236</v>
      </c>
      <c r="C24" s="198" t="s">
        <v>263</v>
      </c>
      <c r="D24" s="195" t="s">
        <v>263</v>
      </c>
      <c r="E24" s="195" t="s">
        <v>263</v>
      </c>
      <c r="F24" s="195" t="s">
        <v>263</v>
      </c>
      <c r="G24" s="198" t="s">
        <v>263</v>
      </c>
      <c r="H24" s="163" t="s">
        <v>263</v>
      </c>
    </row>
    <row r="25" spans="1:10" ht="15.75" thickBot="1" x14ac:dyDescent="0.3">
      <c r="A25" s="169" t="s">
        <v>237</v>
      </c>
      <c r="B25" s="170" t="s">
        <v>238</v>
      </c>
      <c r="C25" s="171"/>
      <c r="D25" s="199"/>
      <c r="E25" s="199"/>
      <c r="F25" s="199"/>
      <c r="G25" s="171"/>
      <c r="H25" s="172"/>
    </row>
    <row r="26" spans="1:10" ht="15.75" thickTop="1" x14ac:dyDescent="0.25">
      <c r="A26" s="174"/>
      <c r="B26" s="175"/>
      <c r="C26" s="175"/>
      <c r="D26" s="175"/>
      <c r="E26" s="176"/>
      <c r="F26" s="176"/>
      <c r="G26" s="176"/>
      <c r="H26" s="176"/>
    </row>
    <row r="27" spans="1:10" x14ac:dyDescent="0.25">
      <c r="A27" s="177"/>
      <c r="B27" s="292" t="s">
        <v>251</v>
      </c>
      <c r="C27" s="200"/>
      <c r="D27" s="200"/>
      <c r="E27" s="200"/>
      <c r="F27" s="200"/>
      <c r="G27" s="200"/>
      <c r="H27" s="200"/>
    </row>
    <row r="28" spans="1:10" x14ac:dyDescent="0.25">
      <c r="A28" s="177" t="s">
        <v>174</v>
      </c>
      <c r="B28" s="569" t="s">
        <v>174</v>
      </c>
      <c r="C28" s="569"/>
      <c r="D28" s="569"/>
      <c r="E28" s="569"/>
      <c r="F28" s="569"/>
      <c r="G28" s="569"/>
      <c r="H28" s="569"/>
    </row>
    <row r="29" spans="1:10" x14ac:dyDescent="0.25">
      <c r="A29" s="202" t="s">
        <v>213</v>
      </c>
      <c r="B29" s="569" t="s">
        <v>450</v>
      </c>
      <c r="C29" s="569"/>
      <c r="D29" s="569"/>
      <c r="E29" s="569"/>
      <c r="F29" s="569"/>
      <c r="G29" s="569"/>
      <c r="H29" s="569"/>
    </row>
    <row r="30" spans="1:10" ht="27.75" customHeight="1" x14ac:dyDescent="0.25">
      <c r="A30" s="203" t="s">
        <v>240</v>
      </c>
      <c r="B30" s="568" t="s">
        <v>297</v>
      </c>
      <c r="C30" s="568"/>
      <c r="D30" s="568"/>
      <c r="E30" s="568"/>
      <c r="F30" s="568"/>
      <c r="G30" s="568"/>
      <c r="H30" s="568"/>
      <c r="I30" s="568"/>
      <c r="J30" s="568"/>
    </row>
    <row r="31" spans="1:10" ht="58.5" customHeight="1" x14ac:dyDescent="0.25">
      <c r="A31" s="203" t="s">
        <v>139</v>
      </c>
      <c r="B31" s="568" t="s">
        <v>365</v>
      </c>
      <c r="C31" s="568"/>
      <c r="D31" s="568"/>
      <c r="E31" s="568"/>
      <c r="F31" s="568"/>
      <c r="G31" s="568"/>
      <c r="H31" s="568"/>
    </row>
    <row r="32" spans="1:10" ht="61.5" customHeight="1" x14ac:dyDescent="0.25">
      <c r="A32" s="203" t="s">
        <v>241</v>
      </c>
      <c r="B32" s="570" t="s">
        <v>445</v>
      </c>
      <c r="C32" s="571"/>
      <c r="D32" s="571"/>
      <c r="E32" s="571"/>
      <c r="F32" s="571"/>
      <c r="G32" s="571"/>
      <c r="H32" s="571"/>
    </row>
    <row r="33" spans="1:8" x14ac:dyDescent="0.25">
      <c r="A33" s="177"/>
      <c r="B33" s="457"/>
      <c r="C33" s="457"/>
      <c r="D33" s="457"/>
      <c r="E33" s="457"/>
      <c r="F33" s="457"/>
      <c r="G33" s="457"/>
      <c r="H33" s="457"/>
    </row>
    <row r="34" spans="1:8" x14ac:dyDescent="0.25">
      <c r="A34" s="177" t="s">
        <v>104</v>
      </c>
      <c r="B34" s="569" t="s">
        <v>252</v>
      </c>
      <c r="C34" s="569"/>
      <c r="D34" s="569"/>
      <c r="E34" s="569"/>
      <c r="F34" s="569"/>
      <c r="G34" s="569"/>
      <c r="H34" s="569"/>
    </row>
    <row r="35" spans="1:8" ht="29.25" customHeight="1" x14ac:dyDescent="0.25">
      <c r="A35" s="177" t="s">
        <v>253</v>
      </c>
      <c r="B35" s="568" t="s">
        <v>254</v>
      </c>
      <c r="C35" s="568"/>
      <c r="D35" s="568"/>
      <c r="E35" s="568"/>
      <c r="F35" s="568"/>
      <c r="G35" s="568"/>
      <c r="H35" s="568"/>
    </row>
    <row r="36" spans="1:8" x14ac:dyDescent="0.25">
      <c r="A36" s="177" t="s">
        <v>255</v>
      </c>
      <c r="B36" s="569" t="s">
        <v>256</v>
      </c>
      <c r="C36" s="569"/>
      <c r="D36" s="569"/>
      <c r="E36" s="569"/>
      <c r="F36" s="569"/>
      <c r="G36" s="569"/>
      <c r="H36" s="569"/>
    </row>
    <row r="37" spans="1:8" ht="43.5" customHeight="1" x14ac:dyDescent="0.25">
      <c r="A37" s="201" t="s">
        <v>257</v>
      </c>
      <c r="B37" s="568" t="s">
        <v>258</v>
      </c>
      <c r="C37" s="568"/>
      <c r="D37" s="568"/>
      <c r="E37" s="568"/>
      <c r="F37" s="568"/>
      <c r="G37" s="568"/>
      <c r="H37" s="568"/>
    </row>
    <row r="38" spans="1:8" x14ac:dyDescent="0.25">
      <c r="A38" s="201" t="s">
        <v>259</v>
      </c>
      <c r="B38" s="569" t="s">
        <v>260</v>
      </c>
      <c r="C38" s="569"/>
      <c r="D38" s="569"/>
      <c r="E38" s="569"/>
      <c r="F38" s="569"/>
      <c r="G38" s="569"/>
      <c r="H38" s="569"/>
    </row>
    <row r="39" spans="1:8" x14ac:dyDescent="0.25">
      <c r="A39" s="177" t="s">
        <v>261</v>
      </c>
      <c r="B39" s="569" t="s">
        <v>262</v>
      </c>
      <c r="C39" s="569"/>
      <c r="D39" s="569"/>
      <c r="E39" s="569"/>
      <c r="F39" s="569"/>
      <c r="G39" s="569"/>
      <c r="H39" s="569"/>
    </row>
    <row r="40" spans="1:8" ht="30" customHeight="1" x14ac:dyDescent="0.25">
      <c r="A40" s="177" t="s">
        <v>263</v>
      </c>
      <c r="B40" s="568" t="s">
        <v>264</v>
      </c>
      <c r="C40" s="568"/>
      <c r="D40" s="568"/>
      <c r="E40" s="568"/>
      <c r="F40" s="568"/>
      <c r="G40" s="568"/>
      <c r="H40" s="568"/>
    </row>
    <row r="41" spans="1:8" x14ac:dyDescent="0.25">
      <c r="A41" s="153"/>
      <c r="B41" s="154"/>
      <c r="C41" s="154"/>
      <c r="D41" s="154"/>
      <c r="E41" s="154"/>
      <c r="F41" s="154"/>
      <c r="G41" s="154"/>
      <c r="H41" s="154"/>
    </row>
    <row r="42" spans="1:8" x14ac:dyDescent="0.25">
      <c r="A42" s="202" t="s">
        <v>213</v>
      </c>
      <c r="B42" s="572" t="s">
        <v>265</v>
      </c>
      <c r="C42" s="572"/>
      <c r="D42" s="572"/>
      <c r="E42" s="572"/>
      <c r="F42" s="572"/>
      <c r="G42" s="572"/>
      <c r="H42" s="572"/>
    </row>
    <row r="43" spans="1:8" x14ac:dyDescent="0.25">
      <c r="A43" s="203" t="s">
        <v>139</v>
      </c>
      <c r="B43" s="204" t="s">
        <v>239</v>
      </c>
      <c r="C43" s="154"/>
      <c r="D43" s="154"/>
      <c r="E43" s="154"/>
      <c r="F43" s="154"/>
      <c r="G43" s="154"/>
      <c r="H43" s="154"/>
    </row>
    <row r="44" spans="1:8" ht="39.75" customHeight="1" x14ac:dyDescent="0.25">
      <c r="A44" s="203" t="s">
        <v>241</v>
      </c>
      <c r="B44" s="568" t="s">
        <v>267</v>
      </c>
      <c r="C44" s="568"/>
      <c r="D44" s="568"/>
      <c r="E44" s="568"/>
      <c r="F44" s="568"/>
      <c r="G44" s="568"/>
      <c r="H44" s="568"/>
    </row>
    <row r="45" spans="1:8" x14ac:dyDescent="0.25">
      <c r="A45" s="203"/>
      <c r="B45" s="569" t="s">
        <v>174</v>
      </c>
      <c r="C45" s="569"/>
      <c r="D45" s="569"/>
      <c r="E45" s="569"/>
      <c r="F45" s="569"/>
      <c r="G45" s="569"/>
      <c r="H45" s="569"/>
    </row>
    <row r="46" spans="1:8" ht="100.5" customHeight="1" x14ac:dyDescent="0.25">
      <c r="A46" s="573" t="s">
        <v>163</v>
      </c>
      <c r="B46" s="573"/>
      <c r="C46" s="573"/>
      <c r="D46" s="573"/>
      <c r="E46" s="573"/>
      <c r="F46" s="573"/>
      <c r="G46" s="573"/>
      <c r="H46" s="573"/>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E8" sqref="E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3"/>
      <c r="B1" s="179" t="s">
        <v>456</v>
      </c>
      <c r="C1" s="468" t="s">
        <v>452</v>
      </c>
      <c r="D1" s="179"/>
      <c r="E1" s="154"/>
      <c r="F1" s="154"/>
      <c r="G1" s="154"/>
      <c r="H1" s="154"/>
    </row>
    <row r="2" spans="1:8" ht="15.75" thickBot="1" x14ac:dyDescent="0.3">
      <c r="A2" s="180" t="s">
        <v>202</v>
      </c>
      <c r="B2" s="181"/>
      <c r="C2" s="181"/>
      <c r="D2" s="181"/>
      <c r="E2" s="181"/>
      <c r="F2" s="181"/>
      <c r="G2" s="181"/>
      <c r="H2" s="181"/>
    </row>
    <row r="3" spans="1:8" ht="15.75" thickTop="1" x14ac:dyDescent="0.25">
      <c r="A3" s="182"/>
      <c r="B3" s="183" t="s">
        <v>242</v>
      </c>
      <c r="C3" s="554" t="s">
        <v>203</v>
      </c>
      <c r="D3" s="555"/>
      <c r="E3" s="555"/>
      <c r="F3" s="555"/>
      <c r="G3" s="558" t="s">
        <v>243</v>
      </c>
      <c r="H3" s="559"/>
    </row>
    <row r="4" spans="1:8" x14ac:dyDescent="0.25">
      <c r="A4" s="184"/>
      <c r="B4" s="185" t="s">
        <v>244</v>
      </c>
      <c r="C4" s="556"/>
      <c r="D4" s="557"/>
      <c r="E4" s="557"/>
      <c r="F4" s="557"/>
      <c r="G4" s="560"/>
      <c r="H4" s="561"/>
    </row>
    <row r="5" spans="1:8" ht="25.5" x14ac:dyDescent="0.25">
      <c r="A5" s="562" t="s">
        <v>204</v>
      </c>
      <c r="B5" s="564" t="s">
        <v>205</v>
      </c>
      <c r="C5" s="566" t="s">
        <v>266</v>
      </c>
      <c r="D5" s="464" t="s">
        <v>97</v>
      </c>
      <c r="E5" s="464" t="s">
        <v>438</v>
      </c>
      <c r="F5" s="464" t="s">
        <v>444</v>
      </c>
      <c r="G5" s="464" t="s">
        <v>97</v>
      </c>
      <c r="H5" s="462" t="s">
        <v>444</v>
      </c>
    </row>
    <row r="6" spans="1:8" x14ac:dyDescent="0.25">
      <c r="A6" s="562"/>
      <c r="B6" s="564"/>
      <c r="C6" s="567"/>
      <c r="D6" s="187">
        <v>0.08</v>
      </c>
      <c r="E6" s="205">
        <v>0.02</v>
      </c>
      <c r="F6" s="188">
        <v>0.1</v>
      </c>
      <c r="G6" s="205">
        <v>0.1</v>
      </c>
      <c r="H6" s="188">
        <v>0.1</v>
      </c>
    </row>
    <row r="7" spans="1:8" x14ac:dyDescent="0.25">
      <c r="A7" s="563"/>
      <c r="B7" s="565"/>
      <c r="C7" s="463" t="s">
        <v>206</v>
      </c>
      <c r="D7" s="464" t="s">
        <v>206</v>
      </c>
      <c r="E7" s="464" t="s">
        <v>206</v>
      </c>
      <c r="F7" s="464" t="s">
        <v>206</v>
      </c>
      <c r="G7" s="463" t="s">
        <v>206</v>
      </c>
      <c r="H7" s="462" t="s">
        <v>206</v>
      </c>
    </row>
    <row r="8" spans="1:8" x14ac:dyDescent="0.25">
      <c r="A8" s="158" t="s">
        <v>207</v>
      </c>
      <c r="B8" s="164" t="s">
        <v>208</v>
      </c>
      <c r="C8" s="160">
        <v>2670.5640000000003</v>
      </c>
      <c r="D8" s="189">
        <v>3232.1376000000005</v>
      </c>
      <c r="E8" s="189">
        <v>3066.8488749999997</v>
      </c>
      <c r="F8" s="189">
        <v>3737.9893750000001</v>
      </c>
      <c r="G8" s="160">
        <v>4453.83</v>
      </c>
      <c r="H8" s="161">
        <v>5253.9820000000009</v>
      </c>
    </row>
    <row r="9" spans="1:8" x14ac:dyDescent="0.25">
      <c r="A9" s="158" t="s">
        <v>209</v>
      </c>
      <c r="B9" s="164" t="s">
        <v>210</v>
      </c>
      <c r="C9" s="168" t="s">
        <v>211</v>
      </c>
      <c r="D9" s="190" t="s">
        <v>211</v>
      </c>
      <c r="E9" s="190" t="s">
        <v>211</v>
      </c>
      <c r="F9" s="190" t="s">
        <v>211</v>
      </c>
      <c r="G9" s="168">
        <v>491.63400000000001</v>
      </c>
      <c r="H9" s="191">
        <v>470.57</v>
      </c>
    </row>
    <row r="10" spans="1:8" x14ac:dyDescent="0.25">
      <c r="A10" s="158"/>
      <c r="B10" s="164" t="s">
        <v>138</v>
      </c>
      <c r="C10" s="168" t="s">
        <v>211</v>
      </c>
      <c r="D10" s="190" t="s">
        <v>211</v>
      </c>
      <c r="E10" s="190" t="s">
        <v>211</v>
      </c>
      <c r="F10" s="190" t="s">
        <v>211</v>
      </c>
      <c r="G10" s="168" t="s">
        <v>139</v>
      </c>
      <c r="H10" s="191" t="s">
        <v>139</v>
      </c>
    </row>
    <row r="11" spans="1:8" x14ac:dyDescent="0.25">
      <c r="A11" s="158"/>
      <c r="B11" s="164" t="s">
        <v>140</v>
      </c>
      <c r="C11" s="192" t="s">
        <v>241</v>
      </c>
      <c r="D11" s="190" t="s">
        <v>241</v>
      </c>
      <c r="E11" s="190" t="s">
        <v>241</v>
      </c>
      <c r="F11" s="190" t="s">
        <v>241</v>
      </c>
      <c r="G11" s="168" t="s">
        <v>241</v>
      </c>
      <c r="H11" s="191" t="s">
        <v>241</v>
      </c>
    </row>
    <row r="12" spans="1:8" x14ac:dyDescent="0.25">
      <c r="A12" s="158" t="s">
        <v>212</v>
      </c>
      <c r="B12" s="164" t="s">
        <v>349</v>
      </c>
      <c r="C12" s="192" t="s">
        <v>240</v>
      </c>
      <c r="D12" s="193" t="s">
        <v>240</v>
      </c>
      <c r="E12" s="193" t="s">
        <v>240</v>
      </c>
      <c r="F12" s="193" t="s">
        <v>240</v>
      </c>
      <c r="G12" s="192" t="s">
        <v>240</v>
      </c>
      <c r="H12" s="194" t="s">
        <v>240</v>
      </c>
    </row>
    <row r="13" spans="1:8" x14ac:dyDescent="0.25">
      <c r="A13" s="158" t="s">
        <v>214</v>
      </c>
      <c r="B13" s="164" t="s">
        <v>215</v>
      </c>
      <c r="C13" s="160">
        <v>21.906900579364827</v>
      </c>
      <c r="D13" s="189">
        <v>21.906900579364827</v>
      </c>
      <c r="E13" s="189">
        <v>21.906900579364827</v>
      </c>
      <c r="F13" s="189">
        <v>21.906900579364827</v>
      </c>
      <c r="G13" s="160">
        <v>21.906900579364827</v>
      </c>
      <c r="H13" s="161">
        <v>21.906900579364827</v>
      </c>
    </row>
    <row r="14" spans="1:8" x14ac:dyDescent="0.25">
      <c r="A14" s="158" t="s">
        <v>218</v>
      </c>
      <c r="B14" s="164" t="s">
        <v>219</v>
      </c>
      <c r="C14" s="160">
        <v>12.561430159485083</v>
      </c>
      <c r="D14" s="189">
        <v>12.561430159485083</v>
      </c>
      <c r="E14" s="189">
        <v>12.561430159485083</v>
      </c>
      <c r="F14" s="189">
        <v>12.561430159485083</v>
      </c>
      <c r="G14" s="160">
        <v>12.561430159485083</v>
      </c>
      <c r="H14" s="161">
        <v>12.561430159485083</v>
      </c>
    </row>
    <row r="15" spans="1:8" x14ac:dyDescent="0.25">
      <c r="A15" s="158"/>
      <c r="B15" s="164" t="s">
        <v>220</v>
      </c>
      <c r="C15" s="160">
        <v>71.510000000000005</v>
      </c>
      <c r="D15" s="189">
        <v>71.510000000000005</v>
      </c>
      <c r="E15" s="189">
        <v>71.510000000000005</v>
      </c>
      <c r="F15" s="189">
        <v>71.510000000000005</v>
      </c>
      <c r="G15" s="160">
        <v>71.510000000000005</v>
      </c>
      <c r="H15" s="161">
        <v>71.510000000000005</v>
      </c>
    </row>
    <row r="16" spans="1:8" x14ac:dyDescent="0.25">
      <c r="A16" s="165" t="s">
        <v>221</v>
      </c>
      <c r="B16" s="196" t="s">
        <v>222</v>
      </c>
      <c r="C16" s="166">
        <v>2776.5423307388505</v>
      </c>
      <c r="D16" s="197">
        <v>3338.1159307388507</v>
      </c>
      <c r="E16" s="197">
        <v>3172.8272057388499</v>
      </c>
      <c r="F16" s="197">
        <v>3843.9677057388503</v>
      </c>
      <c r="G16" s="166">
        <v>5051.4423307388497</v>
      </c>
      <c r="H16" s="167">
        <v>5830.5303307388504</v>
      </c>
    </row>
    <row r="17" spans="1:10" x14ac:dyDescent="0.25">
      <c r="A17" s="158" t="s">
        <v>245</v>
      </c>
      <c r="B17" s="164" t="s">
        <v>246</v>
      </c>
      <c r="C17" s="160" t="s">
        <v>253</v>
      </c>
      <c r="D17" s="189" t="s">
        <v>253</v>
      </c>
      <c r="E17" s="189" t="s">
        <v>253</v>
      </c>
      <c r="F17" s="189" t="s">
        <v>253</v>
      </c>
      <c r="G17" s="160" t="s">
        <v>253</v>
      </c>
      <c r="H17" s="161" t="s">
        <v>253</v>
      </c>
    </row>
    <row r="18" spans="1:10" x14ac:dyDescent="0.25">
      <c r="A18" s="158" t="s">
        <v>223</v>
      </c>
      <c r="B18" s="164" t="s">
        <v>247</v>
      </c>
      <c r="C18" s="160" t="s">
        <v>255</v>
      </c>
      <c r="D18" s="189" t="s">
        <v>255</v>
      </c>
      <c r="E18" s="189" t="s">
        <v>255</v>
      </c>
      <c r="F18" s="189" t="s">
        <v>255</v>
      </c>
      <c r="G18" s="160" t="s">
        <v>255</v>
      </c>
      <c r="H18" s="161" t="s">
        <v>255</v>
      </c>
    </row>
    <row r="19" spans="1:10" x14ac:dyDescent="0.25">
      <c r="A19" s="158" t="s">
        <v>248</v>
      </c>
      <c r="B19" s="164" t="s">
        <v>249</v>
      </c>
      <c r="C19" s="198" t="s">
        <v>257</v>
      </c>
      <c r="D19" s="195" t="s">
        <v>257</v>
      </c>
      <c r="E19" s="195" t="s">
        <v>257</v>
      </c>
      <c r="F19" s="195" t="s">
        <v>257</v>
      </c>
      <c r="G19" s="160" t="s">
        <v>257</v>
      </c>
      <c r="H19" s="161" t="s">
        <v>257</v>
      </c>
    </row>
    <row r="20" spans="1:10" x14ac:dyDescent="0.25">
      <c r="A20" s="158" t="s">
        <v>227</v>
      </c>
      <c r="B20" s="164" t="s">
        <v>145</v>
      </c>
      <c r="C20" s="160" t="s">
        <v>259</v>
      </c>
      <c r="D20" s="189" t="s">
        <v>259</v>
      </c>
      <c r="E20" s="189" t="s">
        <v>259</v>
      </c>
      <c r="F20" s="189" t="s">
        <v>259</v>
      </c>
      <c r="G20" s="160" t="s">
        <v>259</v>
      </c>
      <c r="H20" s="161" t="s">
        <v>259</v>
      </c>
    </row>
    <row r="21" spans="1:10" x14ac:dyDescent="0.25">
      <c r="A21" s="165" t="s">
        <v>229</v>
      </c>
      <c r="B21" s="196" t="s">
        <v>250</v>
      </c>
      <c r="C21" s="166">
        <v>2776.5423307388505</v>
      </c>
      <c r="D21" s="197">
        <v>3338.1159307388507</v>
      </c>
      <c r="E21" s="197">
        <v>3172.8272057388499</v>
      </c>
      <c r="F21" s="197">
        <v>3843.9677057388503</v>
      </c>
      <c r="G21" s="166">
        <v>5051.4423307388497</v>
      </c>
      <c r="H21" s="167">
        <v>5830.5303307388504</v>
      </c>
    </row>
    <row r="22" spans="1:10" x14ac:dyDescent="0.25">
      <c r="A22" s="158" t="s">
        <v>231</v>
      </c>
      <c r="B22" s="164" t="s">
        <v>176</v>
      </c>
      <c r="C22" s="160" t="s">
        <v>255</v>
      </c>
      <c r="D22" s="189" t="s">
        <v>255</v>
      </c>
      <c r="E22" s="189" t="s">
        <v>255</v>
      </c>
      <c r="F22" s="189" t="s">
        <v>255</v>
      </c>
      <c r="G22" s="160" t="s">
        <v>255</v>
      </c>
      <c r="H22" s="161" t="s">
        <v>255</v>
      </c>
    </row>
    <row r="23" spans="1:10" x14ac:dyDescent="0.25">
      <c r="A23" s="158" t="s">
        <v>232</v>
      </c>
      <c r="B23" s="159" t="s">
        <v>233</v>
      </c>
      <c r="C23" s="198" t="s">
        <v>261</v>
      </c>
      <c r="D23" s="195" t="s">
        <v>261</v>
      </c>
      <c r="E23" s="195" t="s">
        <v>234</v>
      </c>
      <c r="F23" s="195" t="s">
        <v>234</v>
      </c>
      <c r="G23" s="198" t="s">
        <v>261</v>
      </c>
      <c r="H23" s="163" t="s">
        <v>234</v>
      </c>
    </row>
    <row r="24" spans="1:10" x14ac:dyDescent="0.25">
      <c r="A24" s="158" t="s">
        <v>235</v>
      </c>
      <c r="B24" s="164" t="s">
        <v>236</v>
      </c>
      <c r="C24" s="198" t="s">
        <v>263</v>
      </c>
      <c r="D24" s="195" t="s">
        <v>263</v>
      </c>
      <c r="E24" s="195" t="s">
        <v>263</v>
      </c>
      <c r="F24" s="195" t="s">
        <v>263</v>
      </c>
      <c r="G24" s="198" t="s">
        <v>263</v>
      </c>
      <c r="H24" s="163" t="s">
        <v>263</v>
      </c>
    </row>
    <row r="25" spans="1:10" ht="15.75" thickBot="1" x14ac:dyDescent="0.3">
      <c r="A25" s="169" t="s">
        <v>237</v>
      </c>
      <c r="B25" s="170" t="s">
        <v>238</v>
      </c>
      <c r="C25" s="171"/>
      <c r="D25" s="199"/>
      <c r="E25" s="199"/>
      <c r="F25" s="199"/>
      <c r="G25" s="171"/>
      <c r="H25" s="172"/>
    </row>
    <row r="26" spans="1:10" ht="15.75" thickTop="1" x14ac:dyDescent="0.25">
      <c r="A26" s="174"/>
      <c r="B26" s="175"/>
      <c r="C26" s="175"/>
      <c r="D26" s="175"/>
      <c r="E26" s="176"/>
      <c r="F26" s="176"/>
      <c r="G26" s="176"/>
      <c r="H26" s="176"/>
    </row>
    <row r="27" spans="1:10" x14ac:dyDescent="0.25">
      <c r="A27" s="177"/>
      <c r="B27" s="292" t="s">
        <v>251</v>
      </c>
      <c r="C27" s="200"/>
      <c r="D27" s="200"/>
      <c r="E27" s="200"/>
      <c r="F27" s="200"/>
      <c r="G27" s="200"/>
      <c r="H27" s="200"/>
    </row>
    <row r="28" spans="1:10" x14ac:dyDescent="0.25">
      <c r="A28" s="177" t="s">
        <v>174</v>
      </c>
      <c r="B28" s="569" t="s">
        <v>174</v>
      </c>
      <c r="C28" s="569"/>
      <c r="D28" s="569"/>
      <c r="E28" s="569"/>
      <c r="F28" s="569"/>
      <c r="G28" s="569"/>
      <c r="H28" s="569"/>
    </row>
    <row r="29" spans="1:10" x14ac:dyDescent="0.25">
      <c r="A29" s="202" t="s">
        <v>213</v>
      </c>
      <c r="B29" s="569" t="s">
        <v>450</v>
      </c>
      <c r="C29" s="569"/>
      <c r="D29" s="569"/>
      <c r="E29" s="569"/>
      <c r="F29" s="569"/>
      <c r="G29" s="569"/>
      <c r="H29" s="569"/>
    </row>
    <row r="30" spans="1:10" ht="27.75" customHeight="1" x14ac:dyDescent="0.25">
      <c r="A30" s="203" t="s">
        <v>240</v>
      </c>
      <c r="B30" s="568" t="s">
        <v>297</v>
      </c>
      <c r="C30" s="568"/>
      <c r="D30" s="568"/>
      <c r="E30" s="568"/>
      <c r="F30" s="568"/>
      <c r="G30" s="568"/>
      <c r="H30" s="568"/>
      <c r="I30" s="568"/>
      <c r="J30" s="568"/>
    </row>
    <row r="31" spans="1:10" ht="58.5" customHeight="1" x14ac:dyDescent="0.25">
      <c r="A31" s="203" t="s">
        <v>139</v>
      </c>
      <c r="B31" s="568" t="s">
        <v>365</v>
      </c>
      <c r="C31" s="568"/>
      <c r="D31" s="568"/>
      <c r="E31" s="568"/>
      <c r="F31" s="568"/>
      <c r="G31" s="568"/>
      <c r="H31" s="568"/>
    </row>
    <row r="32" spans="1:10" ht="61.5" customHeight="1" x14ac:dyDescent="0.25">
      <c r="A32" s="203" t="s">
        <v>241</v>
      </c>
      <c r="B32" s="570" t="s">
        <v>445</v>
      </c>
      <c r="C32" s="571"/>
      <c r="D32" s="571"/>
      <c r="E32" s="571"/>
      <c r="F32" s="571"/>
      <c r="G32" s="571"/>
      <c r="H32" s="571"/>
    </row>
    <row r="33" spans="1:8" x14ac:dyDescent="0.25">
      <c r="A33" s="177"/>
      <c r="B33" s="461"/>
      <c r="C33" s="461"/>
      <c r="D33" s="461"/>
      <c r="E33" s="461"/>
      <c r="F33" s="461"/>
      <c r="G33" s="461"/>
      <c r="H33" s="461"/>
    </row>
    <row r="34" spans="1:8" x14ac:dyDescent="0.25">
      <c r="A34" s="177" t="s">
        <v>104</v>
      </c>
      <c r="B34" s="569" t="s">
        <v>252</v>
      </c>
      <c r="C34" s="569"/>
      <c r="D34" s="569"/>
      <c r="E34" s="569"/>
      <c r="F34" s="569"/>
      <c r="G34" s="569"/>
      <c r="H34" s="569"/>
    </row>
    <row r="35" spans="1:8" ht="29.25" customHeight="1" x14ac:dyDescent="0.25">
      <c r="A35" s="177" t="s">
        <v>253</v>
      </c>
      <c r="B35" s="568" t="s">
        <v>254</v>
      </c>
      <c r="C35" s="568"/>
      <c r="D35" s="568"/>
      <c r="E35" s="568"/>
      <c r="F35" s="568"/>
      <c r="G35" s="568"/>
      <c r="H35" s="568"/>
    </row>
    <row r="36" spans="1:8" x14ac:dyDescent="0.25">
      <c r="A36" s="177" t="s">
        <v>255</v>
      </c>
      <c r="B36" s="569" t="s">
        <v>256</v>
      </c>
      <c r="C36" s="569"/>
      <c r="D36" s="569"/>
      <c r="E36" s="569"/>
      <c r="F36" s="569"/>
      <c r="G36" s="569"/>
      <c r="H36" s="569"/>
    </row>
    <row r="37" spans="1:8" ht="43.5" customHeight="1" x14ac:dyDescent="0.25">
      <c r="A37" s="201" t="s">
        <v>257</v>
      </c>
      <c r="B37" s="568" t="s">
        <v>258</v>
      </c>
      <c r="C37" s="568"/>
      <c r="D37" s="568"/>
      <c r="E37" s="568"/>
      <c r="F37" s="568"/>
      <c r="G37" s="568"/>
      <c r="H37" s="568"/>
    </row>
    <row r="38" spans="1:8" x14ac:dyDescent="0.25">
      <c r="A38" s="201" t="s">
        <v>259</v>
      </c>
      <c r="B38" s="569" t="s">
        <v>260</v>
      </c>
      <c r="C38" s="569"/>
      <c r="D38" s="569"/>
      <c r="E38" s="569"/>
      <c r="F38" s="569"/>
      <c r="G38" s="569"/>
      <c r="H38" s="569"/>
    </row>
    <row r="39" spans="1:8" x14ac:dyDescent="0.25">
      <c r="A39" s="177" t="s">
        <v>261</v>
      </c>
      <c r="B39" s="569" t="s">
        <v>262</v>
      </c>
      <c r="C39" s="569"/>
      <c r="D39" s="569"/>
      <c r="E39" s="569"/>
      <c r="F39" s="569"/>
      <c r="G39" s="569"/>
      <c r="H39" s="569"/>
    </row>
    <row r="40" spans="1:8" ht="30" customHeight="1" x14ac:dyDescent="0.25">
      <c r="A40" s="177" t="s">
        <v>263</v>
      </c>
      <c r="B40" s="568" t="s">
        <v>264</v>
      </c>
      <c r="C40" s="568"/>
      <c r="D40" s="568"/>
      <c r="E40" s="568"/>
      <c r="F40" s="568"/>
      <c r="G40" s="568"/>
      <c r="H40" s="568"/>
    </row>
    <row r="41" spans="1:8" x14ac:dyDescent="0.25">
      <c r="A41" s="153"/>
      <c r="B41" s="154"/>
      <c r="C41" s="154"/>
      <c r="D41" s="154"/>
      <c r="E41" s="154"/>
      <c r="F41" s="154"/>
      <c r="G41" s="154"/>
      <c r="H41" s="154"/>
    </row>
    <row r="42" spans="1:8" x14ac:dyDescent="0.25">
      <c r="A42" s="202" t="s">
        <v>213</v>
      </c>
      <c r="B42" s="572" t="s">
        <v>265</v>
      </c>
      <c r="C42" s="572"/>
      <c r="D42" s="572"/>
      <c r="E42" s="572"/>
      <c r="F42" s="572"/>
      <c r="G42" s="572"/>
      <c r="H42" s="572"/>
    </row>
    <row r="43" spans="1:8" x14ac:dyDescent="0.25">
      <c r="A43" s="203" t="s">
        <v>139</v>
      </c>
      <c r="B43" s="204" t="s">
        <v>239</v>
      </c>
      <c r="C43" s="154"/>
      <c r="D43" s="154"/>
      <c r="E43" s="154"/>
      <c r="F43" s="154"/>
      <c r="G43" s="154"/>
      <c r="H43" s="154"/>
    </row>
    <row r="44" spans="1:8" ht="39.75" customHeight="1" x14ac:dyDescent="0.25">
      <c r="A44" s="203" t="s">
        <v>241</v>
      </c>
      <c r="B44" s="568" t="s">
        <v>267</v>
      </c>
      <c r="C44" s="568"/>
      <c r="D44" s="568"/>
      <c r="E44" s="568"/>
      <c r="F44" s="568"/>
      <c r="G44" s="568"/>
      <c r="H44" s="568"/>
    </row>
    <row r="45" spans="1:8" x14ac:dyDescent="0.25">
      <c r="A45" s="203"/>
      <c r="B45" s="569" t="s">
        <v>174</v>
      </c>
      <c r="C45" s="569"/>
      <c r="D45" s="569"/>
      <c r="E45" s="569"/>
      <c r="F45" s="569"/>
      <c r="G45" s="569"/>
      <c r="H45" s="569"/>
    </row>
    <row r="46" spans="1:8" ht="100.5" customHeight="1" x14ac:dyDescent="0.25">
      <c r="A46" s="573" t="s">
        <v>163</v>
      </c>
      <c r="B46" s="573"/>
      <c r="C46" s="573"/>
      <c r="D46" s="573"/>
      <c r="E46" s="573"/>
      <c r="F46" s="573"/>
      <c r="G46" s="573"/>
      <c r="H46" s="573"/>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2020-12-16T01:34:45Z</dcterms:modified>
</cp:coreProperties>
</file>